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25" windowHeight="8445" activeTab="0"/>
  </bookViews>
  <sheets>
    <sheet name="Instructions" sheetId="1" r:id="rId1"/>
    <sheet name="Crops" sheetId="2" r:id="rId2"/>
    <sheet name="Crop1" sheetId="3" r:id="rId3"/>
    <sheet name="Crop2" sheetId="4" r:id="rId4"/>
    <sheet name="Crop3" sheetId="5" r:id="rId5"/>
    <sheet name="Crop4" sheetId="6" r:id="rId6"/>
    <sheet name="Crop5" sheetId="7" r:id="rId7"/>
    <sheet name="Crop6" sheetId="8" r:id="rId8"/>
    <sheet name="Ownership Info" sheetId="9" r:id="rId9"/>
    <sheet name="Ownership" sheetId="10" r:id="rId10"/>
    <sheet name="CropShare" sheetId="11" r:id="rId11"/>
    <sheet name="Fixed Cash Lease" sheetId="12" r:id="rId12"/>
    <sheet name="Flex Cash Leases" sheetId="13" r:id="rId13"/>
    <sheet name="Mach_Input" sheetId="14" r:id="rId14"/>
    <sheet name="Mach_Output" sheetId="15" r:id="rId15"/>
    <sheet name="Sheet1" sheetId="16" r:id="rId16"/>
  </sheets>
  <externalReferences>
    <externalReference r:id="rId19"/>
  </externalReferences>
  <definedNames>
    <definedName name="\B" localSheetId="1">'Crops'!#REF!</definedName>
    <definedName name="\B" localSheetId="9">'Ownership'!$Q$8</definedName>
    <definedName name="\B">'[1]Crops'!#REF!</definedName>
    <definedName name="\C" localSheetId="1">'Crops'!#REF!</definedName>
    <definedName name="\C" localSheetId="9">'Ownership'!$Q$43</definedName>
    <definedName name="\C">'[1]Crops'!#REF!</definedName>
    <definedName name="\F" localSheetId="1">'Crops'!#REF!</definedName>
    <definedName name="\F" localSheetId="9">'Ownership'!$Q$10</definedName>
    <definedName name="\F">'[1]Crops'!#REF!</definedName>
    <definedName name="\H" localSheetId="1">'Crops'!#REF!</definedName>
    <definedName name="\H" localSheetId="9">'Ownership'!$Q$34</definedName>
    <definedName name="\H">'[1]Crops'!#REF!</definedName>
    <definedName name="\P" localSheetId="1">'Crops'!#REF!</definedName>
    <definedName name="\P" localSheetId="9">'Ownership'!#REF!</definedName>
    <definedName name="\P">'[1]Crops'!#REF!</definedName>
    <definedName name="\R" localSheetId="1">'Crops'!#REF!</definedName>
    <definedName name="\R" localSheetId="9">'Ownership'!#REF!</definedName>
    <definedName name="\R">'[1]Crops'!#REF!</definedName>
    <definedName name="\S" localSheetId="1">'Crops'!#REF!</definedName>
    <definedName name="\S" localSheetId="9">'Ownership'!#REF!</definedName>
    <definedName name="\S">'[1]Crops'!#REF!</definedName>
    <definedName name="\W" localSheetId="1">'Crops'!#REF!</definedName>
    <definedName name="\W" localSheetId="9">'Ownership'!$Q$3</definedName>
    <definedName name="\W">'[1]Crops'!#REF!</definedName>
    <definedName name="\X" localSheetId="1">'Crops'!#REF!</definedName>
    <definedName name="\X" localSheetId="9">'Ownership'!#REF!</definedName>
    <definedName name="\X">'[1]Crops'!#REF!</definedName>
    <definedName name="\Y" localSheetId="1">'Crops'!#REF!</definedName>
    <definedName name="\Y" localSheetId="9">'Ownership'!$Q$14</definedName>
    <definedName name="\Y">'[1]Crops'!#REF!</definedName>
    <definedName name="_Order1" hidden="1">0</definedName>
    <definedName name="_Order2" hidden="1">0</definedName>
    <definedName name="_xlnm.Print_Area" localSheetId="1">'Crops'!$A$2:$K$27</definedName>
    <definedName name="_xlnm.Print_Area" localSheetId="12">'Flex Cash Leases'!$A$1:$I$150</definedName>
    <definedName name="_xlnm.Print_Area" localSheetId="9">'Ownership'!$A$1:$X$64</definedName>
    <definedName name="Print_Area_MI" localSheetId="1">'Crops'!$A$31:$K$43</definedName>
    <definedName name="Print_Area_MI" localSheetId="9">'Ownership'!$A$63:$K$75</definedName>
  </definedNames>
  <calcPr fullCalcOnLoad="1"/>
</workbook>
</file>

<file path=xl/comments10.xml><?xml version="1.0" encoding="utf-8"?>
<comments xmlns="http://schemas.openxmlformats.org/spreadsheetml/2006/main">
  <authors>
    <author>Paul E. Patterson</author>
  </authors>
  <commentList>
    <comment ref="A5" authorId="0">
      <text>
        <r>
          <rPr>
            <b/>
            <sz val="10"/>
            <rFont val="Tahoma"/>
            <family val="2"/>
          </rPr>
          <t>The value of land is its value when used in agricultural production, not the development value.
However, the value of land on a one-year lease for a high value crop (i.e. potatoes, could be higher than the value of the same land with multiple crops.</t>
        </r>
      </text>
    </comment>
    <comment ref="A10" authorId="0">
      <text>
        <r>
          <rPr>
            <b/>
            <sz val="10"/>
            <rFont val="Tahoma"/>
            <family val="2"/>
          </rPr>
          <t>Use the Mach_Input and Mach_Output worksheets to calculate a value based on either a market value or cost value, adjusted for the percent of time equipment is used on this parcel.</t>
        </r>
      </text>
    </comment>
    <comment ref="A22" authorId="0">
      <text>
        <r>
          <rPr>
            <b/>
            <sz val="10"/>
            <rFont val="Tahoma"/>
            <family val="2"/>
          </rPr>
          <t>Use the Mach_Input and Mach_Output worksheets to calculate a value based on either a market value or cost value, adjusted for the percent of time equipment is sused on this parcel. Enter the value here on line 24.</t>
        </r>
      </text>
    </comment>
    <comment ref="D4" authorId="0">
      <text>
        <r>
          <rPr>
            <b/>
            <sz val="10"/>
            <rFont val="Tahoma"/>
            <family val="2"/>
          </rPr>
          <t>Use a real rate of interest on land (nominal minus inflation). A likely range based on risk would be 4 to 7 percent. Use a nominal rate of interest (the opportunity cost of capital) on depreciable assests.</t>
        </r>
      </text>
    </comment>
  </commentList>
</comments>
</file>

<file path=xl/comments12.xml><?xml version="1.0" encoding="utf-8"?>
<comments xmlns="http://schemas.openxmlformats.org/spreadsheetml/2006/main">
  <authors>
    <author>Paul E. Patterson</author>
  </authors>
  <commentList>
    <comment ref="A23" authorId="0">
      <text>
        <r>
          <rPr>
            <b/>
            <sz val="10"/>
            <rFont val="Tahoma"/>
            <family val="2"/>
          </rPr>
          <t>The discount rate for a cash payment should be higher on a flexible cash rent if the flex will  only be used to increases and not decrease the cash rent.</t>
        </r>
      </text>
    </comment>
  </commentList>
</comments>
</file>

<file path=xl/comments14.xml><?xml version="1.0" encoding="utf-8"?>
<comments xmlns="http://schemas.openxmlformats.org/spreadsheetml/2006/main">
  <authors>
    <author>Paul E. Patterson</author>
  </authors>
  <commentList>
    <comment ref="L6" authorId="0">
      <text>
        <r>
          <rPr>
            <b/>
            <sz val="8"/>
            <rFont val="Tahoma"/>
            <family val="2"/>
          </rPr>
          <t xml:space="preserve">% Utilization can be based on hours of use on this parcel or on acres in this parcel, as a percent of total hours or acres.
</t>
        </r>
        <r>
          <rPr>
            <sz val="8"/>
            <rFont val="Tahoma"/>
            <family val="2"/>
          </rPr>
          <t xml:space="preserve">
</t>
        </r>
      </text>
    </comment>
    <comment ref="P6" authorId="0">
      <text>
        <r>
          <rPr>
            <b/>
            <sz val="8"/>
            <rFont val="Tahoma"/>
            <family val="2"/>
          </rPr>
          <t xml:space="preserve">% Utilization can be based on hours of use on this parcel or on acres in this parcel, as a percent of total hours or acres.
</t>
        </r>
      </text>
    </comment>
    <comment ref="R6" authorId="0">
      <text>
        <r>
          <rPr>
            <b/>
            <sz val="8"/>
            <rFont val="Tahoma"/>
            <family val="2"/>
          </rPr>
          <t xml:space="preserve">% Utilization can be based on hours of use on this parcel or on acres in this parcel, as a percent of total hours or acres.
</t>
        </r>
      </text>
    </comment>
    <comment ref="T6" authorId="0">
      <text>
        <r>
          <rPr>
            <b/>
            <sz val="8"/>
            <rFont val="Tahoma"/>
            <family val="2"/>
          </rPr>
          <t xml:space="preserve">% Utilization can be based on hours of use on this parcel or on acres in this parcel, as a percent of total hours or acres.
</t>
        </r>
      </text>
    </comment>
    <comment ref="E5" authorId="0">
      <text>
        <r>
          <rPr>
            <sz val="8"/>
            <rFont val="Tahoma"/>
            <family val="2"/>
          </rPr>
          <t xml:space="preserve">Maintain a value of 0 on lines not used to avoid errors in formulas .
</t>
        </r>
      </text>
    </comment>
    <comment ref="G5" authorId="0">
      <text>
        <r>
          <rPr>
            <sz val="8"/>
            <rFont val="Tahoma"/>
            <family val="2"/>
          </rPr>
          <t>Cost value is purchase price minus accumulated depreciation.</t>
        </r>
      </text>
    </comment>
    <comment ref="H4" authorId="0">
      <text>
        <r>
          <rPr>
            <sz val="8"/>
            <rFont val="Tahoma"/>
            <family val="2"/>
          </rPr>
          <t xml:space="preserve">Annual SL (straight line) depreciation is the purchase price minus salvage value, divided by useful life.
</t>
        </r>
      </text>
    </comment>
    <comment ref="J4" authorId="0">
      <text>
        <r>
          <rPr>
            <sz val="8"/>
            <rFont val="Tahoma"/>
            <family val="2"/>
          </rPr>
          <t xml:space="preserve">% Utilization can be based on hours of use on this parcel or on acres in this parcel, as a percent of total hours or acres.
</t>
        </r>
      </text>
    </comment>
    <comment ref="V6" authorId="0">
      <text>
        <r>
          <rPr>
            <b/>
            <sz val="8"/>
            <rFont val="Tahoma"/>
            <family val="2"/>
          </rPr>
          <t xml:space="preserve">% Utilization can be based on hours of use on this parcel or on acres in this parcel, as a percent of total hours or acres.
</t>
        </r>
      </text>
    </comment>
  </commentList>
</comments>
</file>

<file path=xl/comments2.xml><?xml version="1.0" encoding="utf-8"?>
<comments xmlns="http://schemas.openxmlformats.org/spreadsheetml/2006/main">
  <authors>
    <author>Duane Griffith</author>
    <author>Paul E. Patterson</author>
  </authors>
  <commentList>
    <comment ref="A10" authorId="0">
      <text>
        <r>
          <rPr>
            <b/>
            <sz val="10"/>
            <rFont val="Tahoma"/>
            <family val="2"/>
          </rPr>
          <t xml:space="preserve">For each enterprise you wish to consider (Crop#1 -- Crop#6) at right, enter the name of the crop enterprise below the Crop#X heading.  These enterprise labels are transferred throughout this worksheet where appropriate.  The page tabs at the bottom of this sheet correspond to the enterprise you will enter here.  Again, your enterprise labels are also listed at the top of every page to assist in keeping track of the enterprise you are working with.  </t>
        </r>
        <r>
          <rPr>
            <sz val="10"/>
            <rFont val="Tahoma"/>
            <family val="2"/>
          </rPr>
          <t xml:space="preserve">
</t>
        </r>
      </text>
    </comment>
    <comment ref="A12" authorId="1">
      <text>
        <r>
          <rPr>
            <b/>
            <sz val="10"/>
            <rFont val="Tahoma"/>
            <family val="2"/>
          </rPr>
          <t>Acres can be the number in parcel that will be planted to this crop, or enter a value of 1 to keep all calculations on a per acre basis.</t>
        </r>
      </text>
    </comment>
    <comment ref="A13" authorId="1">
      <text>
        <r>
          <rPr>
            <b/>
            <sz val="10"/>
            <rFont val="Tahoma"/>
            <family val="2"/>
          </rPr>
          <t>Yield should be the paid yield, and should be based on historical field records.</t>
        </r>
      </text>
    </comment>
    <comment ref="A15" authorId="1">
      <text>
        <r>
          <rPr>
            <b/>
            <sz val="10"/>
            <rFont val="Tahoma"/>
            <family val="2"/>
          </rPr>
          <t xml:space="preserve">Other revenue would include other saleable crop by products produced (ex. straw on grain or aftermath grazing on hay), 
government program payments, hunting fees or other recreation fees.
</t>
        </r>
      </text>
    </comment>
    <comment ref="A14" authorId="1">
      <text>
        <r>
          <rPr>
            <b/>
            <sz val="10"/>
            <rFont val="Tahoma"/>
            <family val="2"/>
          </rPr>
          <t>Expected price can be a projected price, a contract price or a historical average.</t>
        </r>
      </text>
    </comment>
  </commentList>
</comments>
</file>

<file path=xl/comments3.xml><?xml version="1.0" encoding="utf-8"?>
<comments xmlns="http://schemas.openxmlformats.org/spreadsheetml/2006/main">
  <authors>
    <author>Paul E. Patterson</author>
  </authors>
  <commentList>
    <comment ref="A34" authorId="0">
      <text>
        <r>
          <rPr>
            <b/>
            <sz val="8"/>
            <rFont val="Tahoma"/>
            <family val="2"/>
          </rPr>
          <t>Ownership costs associated with storage equipment and storage facilities should be entered in the capital investment section.</t>
        </r>
      </text>
    </comment>
    <comment ref="A27" authorId="0">
      <text>
        <r>
          <rPr>
            <b/>
            <sz val="10"/>
            <rFont val="Tahoma"/>
            <family val="2"/>
          </rPr>
          <t>Interest is charged only on items 1 - 11.  No interest is charged on unpaid operator or family labor, or on management fee.</t>
        </r>
      </text>
    </comment>
  </commentList>
</comments>
</file>

<file path=xl/comments4.xml><?xml version="1.0" encoding="utf-8"?>
<comments xmlns="http://schemas.openxmlformats.org/spreadsheetml/2006/main">
  <authors>
    <author>Paul E. Patterson</author>
  </authors>
  <commentList>
    <comment ref="A34" authorId="0">
      <text>
        <r>
          <rPr>
            <b/>
            <sz val="8"/>
            <rFont val="Tahoma"/>
            <family val="2"/>
          </rPr>
          <t>Ownership costs associated with storage equipment and storage facilities should be entered in the capital investment section.</t>
        </r>
      </text>
    </comment>
    <comment ref="A27" authorId="0">
      <text>
        <r>
          <rPr>
            <b/>
            <sz val="10"/>
            <rFont val="Tahoma"/>
            <family val="2"/>
          </rPr>
          <t>Interest is charged only on items 1 - 11.  
No interest is charged on unpaid operator or family labor, or on management fee.</t>
        </r>
      </text>
    </comment>
  </commentList>
</comments>
</file>

<file path=xl/comments5.xml><?xml version="1.0" encoding="utf-8"?>
<comments xmlns="http://schemas.openxmlformats.org/spreadsheetml/2006/main">
  <authors>
    <author>Paul E. Patterson</author>
  </authors>
  <commentList>
    <comment ref="A34" authorId="0">
      <text>
        <r>
          <rPr>
            <b/>
            <sz val="8"/>
            <rFont val="Tahoma"/>
            <family val="2"/>
          </rPr>
          <t>Ownership costs associated with storage equipment and storage facilities should be entered in the capital investment section.</t>
        </r>
      </text>
    </comment>
    <comment ref="A27" authorId="0">
      <text>
        <r>
          <rPr>
            <b/>
            <sz val="10"/>
            <rFont val="Tahoma"/>
            <family val="2"/>
          </rPr>
          <t>Interest is charged only on items 1 - 11.  
No interest is charged on unpaid operator or family labor, or on management fee.</t>
        </r>
      </text>
    </comment>
  </commentList>
</comments>
</file>

<file path=xl/comments6.xml><?xml version="1.0" encoding="utf-8"?>
<comments xmlns="http://schemas.openxmlformats.org/spreadsheetml/2006/main">
  <authors>
    <author>Paul E. Patterson</author>
  </authors>
  <commentList>
    <comment ref="A34" authorId="0">
      <text>
        <r>
          <rPr>
            <b/>
            <sz val="8"/>
            <rFont val="Tahoma"/>
            <family val="2"/>
          </rPr>
          <t>Ownership costs associated with storage equipment and storage facilities should be entered in the capital investment section.</t>
        </r>
      </text>
    </comment>
    <comment ref="A27" authorId="0">
      <text>
        <r>
          <rPr>
            <b/>
            <sz val="10"/>
            <rFont val="Tahoma"/>
            <family val="2"/>
          </rPr>
          <t>Interest is charged only on items 1 - 11.  No interest is charged on unpaid operator or family labor, or on management fee.</t>
        </r>
      </text>
    </comment>
  </commentList>
</comments>
</file>

<file path=xl/comments7.xml><?xml version="1.0" encoding="utf-8"?>
<comments xmlns="http://schemas.openxmlformats.org/spreadsheetml/2006/main">
  <authors>
    <author>Paul E. Patterson</author>
  </authors>
  <commentList>
    <comment ref="A34" authorId="0">
      <text>
        <r>
          <rPr>
            <b/>
            <sz val="8"/>
            <rFont val="Tahoma"/>
            <family val="2"/>
          </rPr>
          <t>Ownership costs associated with storage equipment and storage facilities should be entered in the capital investment section.</t>
        </r>
      </text>
    </comment>
    <comment ref="A27" authorId="0">
      <text>
        <r>
          <rPr>
            <b/>
            <sz val="10"/>
            <rFont val="Tahoma"/>
            <family val="2"/>
          </rPr>
          <t>Interest is charged only on items 1 - 11.  No interest is charged on unpaid operator or family labor, or on management fee.</t>
        </r>
      </text>
    </comment>
  </commentList>
</comments>
</file>

<file path=xl/comments8.xml><?xml version="1.0" encoding="utf-8"?>
<comments xmlns="http://schemas.openxmlformats.org/spreadsheetml/2006/main">
  <authors>
    <author>Paul E. Patterson</author>
  </authors>
  <commentList>
    <comment ref="A34" authorId="0">
      <text>
        <r>
          <rPr>
            <b/>
            <sz val="8"/>
            <rFont val="Tahoma"/>
            <family val="2"/>
          </rPr>
          <t>Ownership costs associated with storage equipment and storage facilities should be entered in the capital investment section.</t>
        </r>
      </text>
    </comment>
    <comment ref="A27" authorId="0">
      <text>
        <r>
          <rPr>
            <b/>
            <sz val="10"/>
            <rFont val="Tahoma"/>
            <family val="2"/>
          </rPr>
          <t>Interest is charged only on items 1 - 11.  No interest is charged on unpaid operator or family labor, or on management fee.</t>
        </r>
      </text>
    </comment>
  </commentList>
</comments>
</file>

<file path=xl/sharedStrings.xml><?xml version="1.0" encoding="utf-8"?>
<sst xmlns="http://schemas.openxmlformats.org/spreadsheetml/2006/main" count="896" uniqueCount="294">
  <si>
    <r>
      <t xml:space="preserve">Enter the </t>
    </r>
    <r>
      <rPr>
        <sz val="12"/>
        <color indexed="10"/>
        <rFont val="Times New Roman"/>
        <family val="1"/>
      </rPr>
      <t xml:space="preserve">actual yield </t>
    </r>
    <r>
      <rPr>
        <sz val="12"/>
        <rFont val="Times New Roman"/>
        <family val="1"/>
      </rPr>
      <t>information (</t>
    </r>
    <r>
      <rPr>
        <sz val="12"/>
        <color indexed="12"/>
        <rFont val="Times New Roman"/>
        <family val="1"/>
      </rPr>
      <t>blue text</t>
    </r>
    <r>
      <rPr>
        <sz val="12"/>
        <rFont val="Times New Roman"/>
        <family val="1"/>
      </rPr>
      <t>) for each crop listed, and the percent yield increment.</t>
    </r>
  </si>
  <si>
    <t>Estimating Rent for Crop Share, Cash, and Flexable Cash Leases.</t>
  </si>
  <si>
    <t xml:space="preserve">Enter Crop Name, Number of Acres, Price, Yield, &amp; Other Revenue Information </t>
  </si>
  <si>
    <t>Crop#1</t>
  </si>
  <si>
    <t>Crop#2</t>
  </si>
  <si>
    <t>Crop#3</t>
  </si>
  <si>
    <t>Crop#4</t>
  </si>
  <si>
    <t>Crop#5</t>
  </si>
  <si>
    <t>Crop#6</t>
  </si>
  <si>
    <t>Help</t>
  </si>
  <si>
    <t>Hard Red Spring Wheat</t>
  </si>
  <si>
    <t>Soft White Winter Wheat</t>
  </si>
  <si>
    <t>Malting Barley</t>
  </si>
  <si>
    <t>Total</t>
  </si>
  <si>
    <t>Involved</t>
  </si>
  <si>
    <t>Number of Acres</t>
  </si>
  <si>
    <t>Expected Yield/Acre</t>
  </si>
  <si>
    <t>Expected Price/Yield Unit</t>
  </si>
  <si>
    <t>Other Revenue/Ac.</t>
  </si>
  <si>
    <t>Enterprise Revenue</t>
  </si>
  <si>
    <t xml:space="preserve"> </t>
  </si>
  <si>
    <t>Check for updates to his spreadsheet at</t>
  </si>
  <si>
    <t>http://www.montana.edu/wwwextec/software/software.htm</t>
  </si>
  <si>
    <t>Modified by Paul E. Patterson</t>
  </si>
  <si>
    <t>Agricultural Economist at the University of Idaho</t>
  </si>
  <si>
    <r>
      <t>You are allowed/required to enter information shown in</t>
    </r>
    <r>
      <rPr>
        <sz val="14"/>
        <color indexed="12"/>
        <rFont val="Times New Roman"/>
        <family val="1"/>
      </rPr>
      <t xml:space="preserve"> blue text </t>
    </r>
    <r>
      <rPr>
        <sz val="14"/>
        <rFont val="Times New Roman"/>
        <family val="1"/>
      </rPr>
      <t>in this spreadsheet.</t>
    </r>
  </si>
  <si>
    <t>Crop Lease Calculator is a planning and decision-aid tool that will calculate crop share lease percentages for a single crop or multiple crops using the cost contributions of the landlord and tenant. The program will also calculate cash rents and flexible cash rents.  The user will need to provide crop yields and prices, production costs and capital investment information for both the landlord and the tenant. The percent cost contribution made by each party will determine the crop share lease terms. Using expected yield and price and a discount factor, the crop share lease is converted to a cash lease or a flexible cash lease. The cash lease is less than the landlords share of the expected revenue since the landlord avoids both production and price risk when she accepts a cash payment.</t>
  </si>
  <si>
    <t>Acres</t>
  </si>
  <si>
    <t>Enter the Operating Costs Per Acre for Crop #1 and the percent of these costs paid by the tenant.</t>
  </si>
  <si>
    <t>Cost</t>
  </si>
  <si>
    <t>Crop</t>
  </si>
  <si>
    <t>Percent</t>
  </si>
  <si>
    <t>Value</t>
  </si>
  <si>
    <t>Per</t>
  </si>
  <si>
    <t>Tenants</t>
  </si>
  <si>
    <t>Landlords</t>
  </si>
  <si>
    <t xml:space="preserve">    OPERATING COSTS</t>
  </si>
  <si>
    <t>Acre</t>
  </si>
  <si>
    <t>Share</t>
  </si>
  <si>
    <t>1. Seed &amp; Seed Treatement</t>
  </si>
  <si>
    <t xml:space="preserve">2. Fetilizer </t>
  </si>
  <si>
    <t>3. Pesticides &amp; Chemicals</t>
  </si>
  <si>
    <t>4. Custom &amp; Consultants</t>
  </si>
  <si>
    <t>5. Irrigation Power</t>
  </si>
  <si>
    <t>6. Irrigation Repairs</t>
  </si>
  <si>
    <t>7. Crop Insurance</t>
  </si>
  <si>
    <t>8. Assessments &amp; Fees</t>
  </si>
  <si>
    <t>9. Machinery Operating Cost: fuel, oil &amp; lube</t>
  </si>
  <si>
    <t>10. Machinery Operating Costs: repairs</t>
  </si>
  <si>
    <t>Sub Total:</t>
  </si>
  <si>
    <t>12. Calculated Interest On Cash Operating Costs</t>
  </si>
  <si>
    <t xml:space="preserve">   A. Avg. Months Loan Outstanding*</t>
  </si>
  <si>
    <t xml:space="preserve">   B. Operating Loan Interest Rate</t>
  </si>
  <si>
    <t>CROP STORAGE COSTS</t>
  </si>
  <si>
    <t>15. Commercial Crop Storage Fees</t>
  </si>
  <si>
    <t>or</t>
  </si>
  <si>
    <t>16. On-Farm Storage Operating Costs</t>
  </si>
  <si>
    <t>17. Calculated Interest On Stored Crop</t>
  </si>
  <si>
    <t xml:space="preserve">    A. Value of stored crop per acre</t>
  </si>
  <si>
    <t xml:space="preserve">    B. Number of Months Stored</t>
  </si>
  <si>
    <t>Total Cash Operating Expenses:</t>
  </si>
  <si>
    <t>Total Operating Costs:</t>
  </si>
  <si>
    <t>Enter the Operating Costs Per Acre for Crop #2 and the percent of these costs paid by the tenant.</t>
  </si>
  <si>
    <t>15. Commerical Crop Storage Fees</t>
  </si>
  <si>
    <t>Enter the Operating Costs Per Acre for Crop #3 and the percent of these costs paid by the tenant.</t>
  </si>
  <si>
    <t>Enter the Operating Costs Per Acre for Crop #4 and the percent of these costs paid by the tenant.</t>
  </si>
  <si>
    <t>Enter the Operating Costs Per Acre for Crop #5 and the percent of these costs paid by the tenant.</t>
  </si>
  <si>
    <t>Enter the Operating Costs Per Acre for Crop #6 and the percent of these costs paid by the tenant.</t>
  </si>
  <si>
    <t>Four ownership costs are included in the next worksheet, including: 1) interest on investment, 2) depreciation, 3) taxes, and 4) insurance. Enter the per acre ownership costs or the values used to calculate the ownership costs for all capital assets used in farming the acreage associated with this lease. This includes the value of land, irrigation systems, buildings and other improvements generally provided by the landlord, as well as machinery provided by the tenant. The value of shares needed to grow a crop, such as sugarbeets, can also be included here. Enter values in cells with blue text or enter labels in yellow highligted cells.</t>
  </si>
  <si>
    <t>Note that the tenant's contributions will need to be entered for each crop. The value of machinery and equipment, or the value of a portable irrigation system provided by the tenant may vary by crop. Also, values from the Mach-Output are not linked to this section. The user will need to enter the values.</t>
  </si>
  <si>
    <t>Crop #1</t>
  </si>
  <si>
    <t>Crop #2</t>
  </si>
  <si>
    <t>Crop #3</t>
  </si>
  <si>
    <t>Crop #4</t>
  </si>
  <si>
    <t>Crop #5</t>
  </si>
  <si>
    <t>Crop #6</t>
  </si>
  <si>
    <t>Ownership Costs:</t>
  </si>
  <si>
    <t>Landlord's</t>
  </si>
  <si>
    <t>Tenant's</t>
  </si>
  <si>
    <t>1. Interest on Investment</t>
  </si>
  <si>
    <t>Interest</t>
  </si>
  <si>
    <t>Contribution</t>
  </si>
  <si>
    <t>Capital Assets Utilized</t>
  </si>
  <si>
    <t>Rate %</t>
  </si>
  <si>
    <t>Value per Acre</t>
  </si>
  <si>
    <t xml:space="preserve">  Land</t>
  </si>
  <si>
    <t xml:space="preserve">  Well and Pump</t>
  </si>
  <si>
    <t xml:space="preserve">  Irrigation System</t>
  </si>
  <si>
    <t xml:space="preserve">  Buildings &amp; Fences</t>
  </si>
  <si>
    <t xml:space="preserve">  Crop Storage Facilities</t>
  </si>
  <si>
    <t xml:space="preserve">  Machinery &amp; Equipment</t>
  </si>
  <si>
    <t xml:space="preserve">  Other:</t>
  </si>
  <si>
    <t>Total Interest on Capital Assets</t>
  </si>
  <si>
    <t>Depreciation</t>
  </si>
  <si>
    <t>2. Depreciation on Capital Assets</t>
  </si>
  <si>
    <t>Total Depreciation Costs on Capital Assets</t>
  </si>
  <si>
    <t>Tenants's</t>
  </si>
  <si>
    <t>Tax</t>
  </si>
  <si>
    <t>3. Property Tax on Capital Assets and Water Assessments</t>
  </si>
  <si>
    <t xml:space="preserve">  Water Assessment</t>
  </si>
  <si>
    <t xml:space="preserve">  Irrigation System (Not in Idaho)</t>
  </si>
  <si>
    <t xml:space="preserve">  Machinery &amp; Equipment (Not in Idaho)</t>
  </si>
  <si>
    <t>Other:</t>
  </si>
  <si>
    <t>Total Taxes and Assessments on Capital Assets</t>
  </si>
  <si>
    <t>Insurance</t>
  </si>
  <si>
    <t>4. Liability and Property Insurance on Capital Assets</t>
  </si>
  <si>
    <t>Landlord</t>
  </si>
  <si>
    <t>Tenant</t>
  </si>
  <si>
    <t>Total Ownership Cost Contributions</t>
  </si>
  <si>
    <t>Ownership Worksheet Information</t>
  </si>
  <si>
    <t xml:space="preserve">Machinery and Equipment: </t>
  </si>
  <si>
    <t>Crop:</t>
  </si>
  <si>
    <t>Enter total acres on which the equipment is used (owned &amp; leased).</t>
  </si>
  <si>
    <t>Acres:</t>
  </si>
  <si>
    <t>Annual</t>
  </si>
  <si>
    <t>Market</t>
  </si>
  <si>
    <t>Purchase</t>
  </si>
  <si>
    <t>Salvage</t>
  </si>
  <si>
    <t>Useful</t>
  </si>
  <si>
    <t>Remaining</t>
  </si>
  <si>
    <t>SL</t>
  </si>
  <si>
    <t>%</t>
  </si>
  <si>
    <t>Item</t>
  </si>
  <si>
    <t>Price</t>
  </si>
  <si>
    <t>Life</t>
  </si>
  <si>
    <t>Utilization</t>
  </si>
  <si>
    <t>Tractor - 250 hp</t>
  </si>
  <si>
    <t>Tractor - 200 hp</t>
  </si>
  <si>
    <t>Tandem Disk</t>
  </si>
  <si>
    <t>Chisel Plow</t>
  </si>
  <si>
    <t>Ripper</t>
  </si>
  <si>
    <t>Potato Planter - 6 Row</t>
  </si>
  <si>
    <t>Basin Tillage Tool</t>
  </si>
  <si>
    <t>Cultivator</t>
  </si>
  <si>
    <t>Sprayer</t>
  </si>
  <si>
    <t>Vine Chopper</t>
  </si>
  <si>
    <t>Vine Roller</t>
  </si>
  <si>
    <t>Potato Harvester - 2 Row</t>
  </si>
  <si>
    <t>Potato Windrower - 4 Row</t>
  </si>
  <si>
    <t>Truck #1 - 10-Wheeler</t>
  </si>
  <si>
    <t>Truck #2 - 10-Wheeler</t>
  </si>
  <si>
    <t>Truck #3 - 10-Wheeler</t>
  </si>
  <si>
    <t>Truck #4 - 10-Wheeler</t>
  </si>
  <si>
    <t>Truck #5 - 10-Wheeler</t>
  </si>
  <si>
    <t>Grain Combine</t>
  </si>
  <si>
    <t>Scroll down to see total values and values per acre.</t>
  </si>
  <si>
    <t>Crop #1:</t>
  </si>
  <si>
    <t>Crop #2:</t>
  </si>
  <si>
    <t>Crop #3:</t>
  </si>
  <si>
    <t xml:space="preserve">Annual </t>
  </si>
  <si>
    <t>Depreciaton</t>
  </si>
  <si>
    <t>Total Value</t>
  </si>
  <si>
    <t>Value per acre</t>
  </si>
  <si>
    <t>The total market value per acre or the total cost value per acre (shown at the bottom) will need to be manually entered in the Investments worksheet interest ownership cost section. Total annual depreciation per acre (shown at the bottom) should be entered in the depreciation ownership cost section. These are not linked automatically.</t>
  </si>
  <si>
    <t>Crop Share Lease Percentage Based on Cost Contributions to Specified Crop Enterprises</t>
  </si>
  <si>
    <t>Average</t>
  </si>
  <si>
    <t>Crops</t>
  </si>
  <si>
    <t>Tenant Costs</t>
  </si>
  <si>
    <t>Landlord Costs</t>
  </si>
  <si>
    <t>Total Costs</t>
  </si>
  <si>
    <t>Operating</t>
  </si>
  <si>
    <t>Ownership</t>
  </si>
  <si>
    <t xml:space="preserve">Total </t>
  </si>
  <si>
    <t>Crop Share Lease Expected Returns Using Lease Percentage Based on Cost Contributions, Expected Yield and Expected Price Enterprises</t>
  </si>
  <si>
    <t>Total Analysis:</t>
  </si>
  <si>
    <t>Expected total revenue based on a cost contribution % crop share lease</t>
  </si>
  <si>
    <t>Total cash operating costs</t>
  </si>
  <si>
    <t>Return over cash operating costs</t>
  </si>
  <si>
    <t>Total costs</t>
  </si>
  <si>
    <t xml:space="preserve">Return over all costs based on expected revenue and costs </t>
  </si>
  <si>
    <t xml:space="preserve">Net return over total costs per acre </t>
  </si>
  <si>
    <t>Analysis by crop:</t>
  </si>
  <si>
    <t>Revenue is based on a cost contribution crop share lease and uses the expected crop yield and crop price in the Crops worksheeet.</t>
  </si>
  <si>
    <t>Crop %</t>
  </si>
  <si>
    <t>Crop Quantity</t>
  </si>
  <si>
    <t>Total Revenue</t>
  </si>
  <si>
    <t>Cash Operating Costs</t>
  </si>
  <si>
    <t>Return over total costs</t>
  </si>
  <si>
    <t>Both the Cash Lease and Flexible Cash Lease calculations are driven off the Cost Share Lease Calculations.</t>
  </si>
  <si>
    <t>You must complete the costs share calculations for each enterprise first.</t>
  </si>
  <si>
    <t>Cash Lease Arrangements (Based on Cost Contributions Approach)</t>
  </si>
  <si>
    <t>Will the Landlord pay operating costs for the enterprises under a cash lease.  (Y/N)</t>
  </si>
  <si>
    <t xml:space="preserve">  &lt; upper or lower case OK</t>
  </si>
  <si>
    <t xml:space="preserve">  It is assumed here that if the answer is Y (the landlord will pay a portion of operating</t>
  </si>
  <si>
    <t xml:space="preserve">  costs) that the above cost sharing arrangement are correct.  If the answer is N, the </t>
  </si>
  <si>
    <t xml:space="preserve">  program recalculates the cost contributions of each party without the landlord sharing</t>
  </si>
  <si>
    <t xml:space="preserve">  operating costs (chemicals, fertilizer, seed, etc.).</t>
  </si>
  <si>
    <t>Expected Yield</t>
  </si>
  <si>
    <t>Expected Price</t>
  </si>
  <si>
    <t>Total Expected Revenue</t>
  </si>
  <si>
    <t>Landlord's Share</t>
  </si>
  <si>
    <t>Landlord's Expected Revenue</t>
  </si>
  <si>
    <t xml:space="preserve">Discount Rate </t>
  </si>
  <si>
    <t>For Cash</t>
  </si>
  <si>
    <t>Per Acre</t>
  </si>
  <si>
    <t>Cash Lease</t>
  </si>
  <si>
    <t>Net above cash operating:</t>
  </si>
  <si>
    <t xml:space="preserve">Net above total costs </t>
  </si>
  <si>
    <t>Total Acres</t>
  </si>
  <si>
    <r>
      <t>Enter the information requested (</t>
    </r>
    <r>
      <rPr>
        <sz val="12"/>
        <color indexed="12"/>
        <rFont val="Times New Roman"/>
        <family val="1"/>
      </rPr>
      <t>blue text</t>
    </r>
    <r>
      <rPr>
        <sz val="12"/>
        <rFont val="Times New Roman"/>
        <family val="1"/>
      </rPr>
      <t>) for each crop listed, including cash discount, actual crop yield and actual crop price.</t>
    </r>
  </si>
  <si>
    <t xml:space="preserve"> These are the "agreed upon base prices and yields established by the landlord and tenant, beore the lease is initiated.</t>
  </si>
  <si>
    <t>Actual Yield</t>
  </si>
  <si>
    <t xml:space="preserve">Cash Lease adjusted for Yield Variation </t>
  </si>
  <si>
    <t>New Cash Lease Based on Actual Yields Weighted by Acres In Each Enterprise</t>
  </si>
  <si>
    <t>Yield Ratio</t>
  </si>
  <si>
    <t>Enter Percent</t>
  </si>
  <si>
    <t>Increment in Yield</t>
  </si>
  <si>
    <t>Entered Percent Change.</t>
  </si>
  <si>
    <t>% Yield Change</t>
  </si>
  <si>
    <t>- Three Increments</t>
  </si>
  <si>
    <t>- Two Increments</t>
  </si>
  <si>
    <t>- One Increment</t>
  </si>
  <si>
    <t>+ One Increment</t>
  </si>
  <si>
    <t>+ Two Increments</t>
  </si>
  <si>
    <t>+ Three Increments</t>
  </si>
  <si>
    <t xml:space="preserve">Cash Lease adjusted for Price Variation </t>
  </si>
  <si>
    <t>New Cash Lease Based on Actual Prices Weighted by Acres In Each Enterprise</t>
  </si>
  <si>
    <t>Actual Price</t>
  </si>
  <si>
    <t>Price Ratio</t>
  </si>
  <si>
    <t>Increment in Price</t>
  </si>
  <si>
    <t>% Price Change</t>
  </si>
  <si>
    <r>
      <t xml:space="preserve">Sensitivity Table for </t>
    </r>
    <r>
      <rPr>
        <b/>
        <sz val="14"/>
        <rFont val="Times New Roman"/>
        <family val="1"/>
      </rPr>
      <t>Yield</t>
    </r>
    <r>
      <rPr>
        <sz val="12"/>
        <rFont val="Times New Roman"/>
        <family val="1"/>
      </rPr>
      <t xml:space="preserve"> Increase/Decrease Based on User </t>
    </r>
  </si>
  <si>
    <r>
      <t xml:space="preserve">Sensitivity Table for </t>
    </r>
    <r>
      <rPr>
        <b/>
        <sz val="14"/>
        <rFont val="Times New Roman"/>
        <family val="1"/>
      </rPr>
      <t>Price</t>
    </r>
    <r>
      <rPr>
        <sz val="12"/>
        <rFont val="Times New Roman"/>
        <family val="1"/>
      </rPr>
      <t xml:space="preserve"> Increase/Decrease Based on User </t>
    </r>
  </si>
  <si>
    <r>
      <t xml:space="preserve">Flexible Cash Lease Arrangements Based on </t>
    </r>
    <r>
      <rPr>
        <sz val="16"/>
        <color indexed="10"/>
        <rFont val="Times New Roman"/>
        <family val="1"/>
      </rPr>
      <t>Both Price and Yield Variations</t>
    </r>
  </si>
  <si>
    <t>Per acre return over total costs</t>
  </si>
  <si>
    <t xml:space="preserve">Per Acre </t>
  </si>
  <si>
    <t>Adjusted Cash Contribution Cash Lease</t>
  </si>
  <si>
    <t>Percent Total Cost Contributions for Tenant and Landlord by Crop:</t>
  </si>
  <si>
    <t xml:space="preserve">Sensitivity Table for Cash Lease Increase/Decrease Based on User </t>
  </si>
  <si>
    <t>Lease/Acre</t>
  </si>
  <si>
    <t>Lease Paid on Total Acres</t>
  </si>
  <si>
    <t>Fixed Cash Lease Payments:</t>
  </si>
  <si>
    <t>Yield-Flex Cash Lease Payments:</t>
  </si>
  <si>
    <t xml:space="preserve"> Price Change</t>
  </si>
  <si>
    <t>Yield Change</t>
  </si>
  <si>
    <t>from previously specified "expected" crop price.</t>
  </si>
  <si>
    <t>Expected crop yields and prices used to develop fixed cash lease rates.</t>
  </si>
  <si>
    <t>This procedure is based on the yields and prices that were entered in the Crops workwheet on rows 17 and 18 (also on rows 22 and 23 above).</t>
  </si>
  <si>
    <t xml:space="preserve">Adjusted Cash Contriubtributions </t>
  </si>
  <si>
    <t>from previously specified "expected" crop yields.</t>
  </si>
  <si>
    <t>Base Cash Lease</t>
  </si>
  <si>
    <t>Flexible cash leases are calculated using the fixed cash lease derived using the cost contribution, with the cash payment adjustment.</t>
  </si>
  <si>
    <t>The cash lease can be "flexed" based on yield, price or both.</t>
  </si>
  <si>
    <t>X</t>
  </si>
  <si>
    <t>A yield ratio is calculated as the ratio between the actual yield and the expected yield used to derive the base cash lease.</t>
  </si>
  <si>
    <t>A price ratio is calculated as the ratio between the actual price and the expected price used to dervice the base cash lease.</t>
  </si>
  <si>
    <t>Price Ratio =</t>
  </si>
  <si>
    <t>Yield Ratio =</t>
  </si>
  <si>
    <t>Entered Percent Change Increment.</t>
  </si>
  <si>
    <r>
      <t xml:space="preserve">Enter the actual </t>
    </r>
    <r>
      <rPr>
        <sz val="12"/>
        <color indexed="10"/>
        <rFont val="Times New Roman"/>
        <family val="1"/>
      </rPr>
      <t>price</t>
    </r>
    <r>
      <rPr>
        <sz val="12"/>
        <rFont val="Times New Roman"/>
        <family val="1"/>
      </rPr>
      <t xml:space="preserve"> information (</t>
    </r>
    <r>
      <rPr>
        <sz val="12"/>
        <color indexed="12"/>
        <rFont val="Times New Roman"/>
        <family val="1"/>
      </rPr>
      <t>blue text</t>
    </r>
    <r>
      <rPr>
        <sz val="12"/>
        <rFont val="Times New Roman"/>
        <family val="1"/>
      </rPr>
      <t>) for each crop listed, and the percent yield increment.</t>
    </r>
  </si>
  <si>
    <r>
      <t xml:space="preserve">Flexible Cash Lease Arrangements Based on </t>
    </r>
    <r>
      <rPr>
        <sz val="16"/>
        <color indexed="10"/>
        <rFont val="Times New Roman"/>
        <family val="1"/>
      </rPr>
      <t>Price</t>
    </r>
    <r>
      <rPr>
        <sz val="16"/>
        <rFont val="Times New Roman"/>
        <family val="1"/>
      </rPr>
      <t xml:space="preserve"> Variations</t>
    </r>
  </si>
  <si>
    <r>
      <t>Flexible Cash Lease Arrangements Based on</t>
    </r>
    <r>
      <rPr>
        <sz val="16"/>
        <color indexed="10"/>
        <rFont val="Times New Roman"/>
        <family val="1"/>
      </rPr>
      <t xml:space="preserve"> Yield </t>
    </r>
    <r>
      <rPr>
        <sz val="16"/>
        <rFont val="Times New Roman"/>
        <family val="1"/>
      </rPr>
      <t>Variations</t>
    </r>
  </si>
  <si>
    <t xml:space="preserve">Cash Lease adjusted for Price and Yield Variation </t>
  </si>
  <si>
    <t>Price-Flex Cash Lease Payments:</t>
  </si>
  <si>
    <t>Yield and Price-Flex Cash Lease Payments:</t>
  </si>
  <si>
    <t>--</t>
  </si>
  <si>
    <t>Grain Drill</t>
  </si>
  <si>
    <t>Moldboard Plow 5-bottom</t>
  </si>
  <si>
    <t>Offset Disk</t>
  </si>
  <si>
    <t>All Crops</t>
  </si>
  <si>
    <t>available to pay cash rent:</t>
  </si>
  <si>
    <t>Expected return above tenant's expenses</t>
  </si>
  <si>
    <t>Sugarbeets</t>
  </si>
  <si>
    <t>11. Hired Labor &amp; Hired Management</t>
  </si>
  <si>
    <t>If you discover a problem with the spreadsheet or if you have any questions, contact: Paul Patterson, University of Idaho farm management specialist:            Phone (208) 529-8376, or email pattersn@uidaho.edu</t>
  </si>
  <si>
    <r>
      <t xml:space="preserve">To help the user calculate these values, two worksheets are provided in this spreadsheet. </t>
    </r>
    <r>
      <rPr>
        <sz val="10"/>
        <color indexed="12"/>
        <rFont val="Arial"/>
        <family val="2"/>
      </rPr>
      <t>Mach_Input</t>
    </r>
    <r>
      <rPr>
        <sz val="10"/>
        <rFont val="Arial"/>
        <family val="2"/>
      </rPr>
      <t xml:space="preserve"> alllows the user to list all equipment used to farm this parcel. The user should enter all the requested information and than specify the percentage of the annual use assigned to this parcel.  For example, if the tractor is used for a total of 500 hours and the parcel under consideration generates 100 hours, the utilization percentage would be 20%.  If a potato harvester is used on 450 acres, than this 150 acre parcel should be assigned 33% of the ownership costs.  The value of the equipment can be either the market value, entered by the user, or the calculated cost value that is based on the information supplied by the user. After entering the information in </t>
    </r>
    <r>
      <rPr>
        <sz val="10"/>
        <color indexed="12"/>
        <rFont val="Arial"/>
        <family val="2"/>
      </rPr>
      <t>Mach_Input</t>
    </r>
    <r>
      <rPr>
        <sz val="10"/>
        <rFont val="Arial"/>
        <family val="2"/>
      </rPr>
      <t xml:space="preserve">, the user can go to the </t>
    </r>
    <r>
      <rPr>
        <sz val="10"/>
        <color indexed="12"/>
        <rFont val="Arial"/>
        <family val="2"/>
      </rPr>
      <t>Mach_Output</t>
    </r>
    <r>
      <rPr>
        <sz val="10"/>
        <rFont val="Arial"/>
        <family val="2"/>
      </rPr>
      <t xml:space="preserve"> worksheet. This second worksheet shows the utilization value for each piece of equipment, the total for all equipment, and the per acre value based on the number of acres entered by the user in the Crops worksheet.  The equipment and values initially shown in the Mach_Input worksheet are for illustration only and can be overwritten.</t>
    </r>
  </si>
  <si>
    <t xml:space="preserve">Field Corn </t>
  </si>
  <si>
    <t>Potatoes: No-Storage</t>
  </si>
  <si>
    <t>Crop #4:</t>
  </si>
  <si>
    <t>Crop #5:</t>
  </si>
  <si>
    <r>
      <t xml:space="preserve">Enter only the equipment used to farm the parcel(s) under consideration. Then, enter the </t>
    </r>
    <r>
      <rPr>
        <b/>
        <sz val="12"/>
        <rFont val="Arial"/>
        <family val="2"/>
      </rPr>
      <t>total</t>
    </r>
    <r>
      <rPr>
        <sz val="12"/>
        <rFont val="Arial"/>
        <family val="2"/>
      </rPr>
      <t xml:space="preserve"> number of acres on which the equipment is utilized and % utilization for this equipment by crop.</t>
    </r>
  </si>
  <si>
    <r>
      <t xml:space="preserve">The user should first enter the name of the crop(s), number of acres, paid yield and selling price information for crops that will be grown on the land parcel. This is entered in the </t>
    </r>
    <r>
      <rPr>
        <sz val="10"/>
        <color indexed="12"/>
        <rFont val="Arial"/>
        <family val="2"/>
      </rPr>
      <t xml:space="preserve">Crops </t>
    </r>
    <r>
      <rPr>
        <sz val="10"/>
        <rFont val="Arial"/>
        <family val="2"/>
      </rPr>
      <t xml:space="preserve">worksheet. Acres can be the number to be grown on this parcel, or the user can enter a value of 1 acre and use the program to calculate the rental rate on a per acre basis. The operating costs for each crop, entered in worksheets </t>
    </r>
    <r>
      <rPr>
        <sz val="10"/>
        <color indexed="12"/>
        <rFont val="Arial"/>
        <family val="2"/>
      </rPr>
      <t>Crop #1 - Crop #6</t>
    </r>
    <r>
      <rPr>
        <sz val="10"/>
        <rFont val="Arial"/>
        <family val="2"/>
      </rPr>
      <t>,  will be entered on a per acre basis in either situation.</t>
    </r>
  </si>
  <si>
    <r>
      <t xml:space="preserve">The user will need to enter ownership cost information in the </t>
    </r>
    <r>
      <rPr>
        <sz val="10"/>
        <color indexed="12"/>
        <rFont val="Arial"/>
        <family val="2"/>
      </rPr>
      <t xml:space="preserve">Ownership </t>
    </r>
    <r>
      <rPr>
        <sz val="10"/>
        <rFont val="Arial"/>
        <family val="2"/>
      </rPr>
      <t>worksheet.  Both landlord and tenant normally contribute capital investments to the farming enterprise. Capital investments includes the value of land and improvements, irrigation system, fences and buildings, which are all normally provided by the landlord.  It also includes the capital investment for the equipment used by the tenant. Since this equipment is typically used on more land than the rental parcel, only a proportionate value of equipment should be entered.  This value can be estimated based on hours of use on the rented ground as a percent of the total annual hours of equipment use.  The percentage factor can also be based on acres of use. Utilization percentages will be easier to calculate for specialized equipment, which is often used on only one crop.</t>
    </r>
  </si>
  <si>
    <t>There are four major costs associated with capital investments: 1) interest, 2) depreciation, 3) taxes and fees,  and 4) insurance.  All four values should be calculated and  entered. Interest is the opportunity cost of capital. The interest rate should be a real rate of interest (nominal rate minus inflation). Currently, the real interest rate would fall in a range between 4 and 7 percent. The interest rate should also reflect the underlying risk. For example, a higher interest rate should be used when calculating the landowners contriubtion to a one year potato lease compared to a multiple year lease that would involve a mix of crops. Depreciation should be management depreciation, which is based on the useful life of the machinery, not tax depreciation, which is based on the tax life of the machinery.</t>
  </si>
  <si>
    <t>)</t>
  </si>
  <si>
    <t>Crop #6:</t>
  </si>
  <si>
    <t>Sugarbeet Shares</t>
  </si>
  <si>
    <t>Pickup Truck</t>
  </si>
  <si>
    <t>n</t>
  </si>
  <si>
    <t>Other Expected Revenue</t>
  </si>
  <si>
    <t>13. Unpaid Labor</t>
  </si>
  <si>
    <t>14. Unpaid Management</t>
  </si>
  <si>
    <t>13. Unpaid  Labor</t>
  </si>
  <si>
    <t>Revenue based on sum of individual crops</t>
  </si>
  <si>
    <t>Revenue calculated using whole-farm expense percentages.</t>
  </si>
  <si>
    <t xml:space="preserve">  It is assumed here that if the answer is Y (the landlord will pay a portion of operating costs) that the CropShare arrangements are correct.</t>
  </si>
  <si>
    <t xml:space="preserve"> If the answer is N, the program recalculates the cost contributions of each party without the landlord sharing expenses.</t>
  </si>
  <si>
    <t>in the fixed Cash Lease worksheet.</t>
  </si>
  <si>
    <t xml:space="preserve">Note: this can only be </t>
  </si>
  <si>
    <t>Idaho Crop Lease Calculator - April 2008</t>
  </si>
  <si>
    <t>Idaho Crop Lease Calculator is based on a spreadsheet developed by Duane Griffith, Farm Management Specialist, Montana State University</t>
  </si>
  <si>
    <t xml:space="preserve"> Last revised: April 2008</t>
  </si>
  <si>
    <t>Base Cash Lease X Yield Ratio</t>
  </si>
  <si>
    <t>Base Values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</si>
</sst>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_);\(#,##0.000\)"/>
    <numFmt numFmtId="167" formatCode="0_)"/>
    <numFmt numFmtId="168" formatCode="_(&quot;$&quot;* #,##0.000_);_(&quot;$&quot;* \(#,##0.000\);_(&quot;$&quot;* &quot;-&quot;??_);_(@_)"/>
    <numFmt numFmtId="169" formatCode="_(&quot;$&quot;* #,##0.0_);_(&quot;$&quot;* \(#,##0.0\);_(&quot;$&quot;* &quot;-&quot;??_);_(@_)"/>
    <numFmt numFmtId="170" formatCode="_(&quot;$&quot;* #,##0_);_(&quot;$&quot;* \(#,##0\);_(&quot;$&quot;* &quot;-&quot;??_);_(@_)"/>
    <numFmt numFmtId="171" formatCode="&quot;$&quot;#,##0"/>
    <numFmt numFmtId="172" formatCode="0.0%"/>
    <numFmt numFmtId="173" formatCode="&quot;$&quot;#,##0.00"/>
    <numFmt numFmtId="174" formatCode="0.000"/>
    <numFmt numFmtId="175" formatCode="&quot;$&quot;#,##0.000"/>
    <numFmt numFmtId="176" formatCode="0.0"/>
    <numFmt numFmtId="177" formatCode="#,##0.0000_);\(#,##0.0000\)"/>
    <numFmt numFmtId="178" formatCode="0.0_)"/>
    <numFmt numFmtId="179" formatCode="0.000%"/>
    <numFmt numFmtId="180" formatCode="0.00000"/>
    <numFmt numFmtId="181" formatCode="0.0000"/>
    <numFmt numFmtId="182" formatCode="&quot;$&quot;#,##0.0"/>
    <numFmt numFmtId="183" formatCode="_(* #,##0.0_);_(* \(#,##0.0\);_(* &quot;-&quot;??_);_(@_)"/>
    <numFmt numFmtId="184" formatCode="_(* #,##0_);_(* \(#,##0\);_(* &quot;-&quot;??_);_(@_)"/>
    <numFmt numFmtId="185" formatCode="#,##0.0000"/>
    <numFmt numFmtId="186" formatCode="#,##0.000"/>
    <numFmt numFmtId="187" formatCode="#,##0.0"/>
    <numFmt numFmtId="188" formatCode="&quot;$&quot;#,##0.0_);\(&quot;$&quot;#,##0.0\)"/>
    <numFmt numFmtId="189" formatCode="&quot;$&quot;#,##0.0_);[Red]\(&quot;$&quot;#,##0.0\)"/>
    <numFmt numFmtId="190" formatCode="_(* #,##0.000_);_(* \(#,##0.000\);_(* &quot;-&quot;??_);_(@_)"/>
    <numFmt numFmtId="191" formatCode="_(* #,##0.0000_);_(* \(#,##0.0000\);_(* &quot;-&quot;??_);_(@_)"/>
    <numFmt numFmtId="192" formatCode="&quot;$&quot;#,##0.0000"/>
  </numFmts>
  <fonts count="74">
    <font>
      <sz val="11"/>
      <name val="Arial"/>
      <family val="0"/>
    </font>
    <font>
      <u val="single"/>
      <sz val="10"/>
      <color indexed="36"/>
      <name val="Arial"/>
      <family val="2"/>
    </font>
    <font>
      <u val="single"/>
      <sz val="10"/>
      <color indexed="12"/>
      <name val="Arial"/>
      <family val="2"/>
    </font>
    <font>
      <sz val="12"/>
      <name val="TIMES"/>
      <family val="0"/>
    </font>
    <font>
      <b/>
      <sz val="12"/>
      <name val="TIMES"/>
      <family val="0"/>
    </font>
    <font>
      <sz val="12"/>
      <color indexed="12"/>
      <name val="TIMES"/>
      <family val="0"/>
    </font>
    <font>
      <b/>
      <sz val="14"/>
      <name val="Times New Roman"/>
      <family val="1"/>
    </font>
    <font>
      <b/>
      <sz val="18"/>
      <name val="TIMES"/>
      <family val="0"/>
    </font>
    <font>
      <sz val="14"/>
      <color indexed="12"/>
      <name val="Times New Roman"/>
      <family val="1"/>
    </font>
    <font>
      <sz val="14"/>
      <name val="Times New Roman"/>
      <family val="1"/>
    </font>
    <font>
      <sz val="12"/>
      <color indexed="8"/>
      <name val="Times New Roman"/>
      <family val="1"/>
    </font>
    <font>
      <sz val="12"/>
      <name val="Times New Roman"/>
      <family val="1"/>
    </font>
    <font>
      <b/>
      <sz val="12"/>
      <name val="Times New Roman"/>
      <family val="1"/>
    </font>
    <font>
      <sz val="12"/>
      <color indexed="12"/>
      <name val="Times New Roman"/>
      <family val="1"/>
    </font>
    <font>
      <b/>
      <sz val="10"/>
      <name val="Tahoma"/>
      <family val="2"/>
    </font>
    <font>
      <sz val="10"/>
      <name val="Tahoma"/>
      <family val="2"/>
    </font>
    <font>
      <sz val="12"/>
      <color indexed="42"/>
      <name val="TIMES"/>
      <family val="0"/>
    </font>
    <font>
      <sz val="12"/>
      <color indexed="13"/>
      <name val="Times New Roman"/>
      <family val="1"/>
    </font>
    <font>
      <b/>
      <sz val="8"/>
      <name val="Tahoma"/>
      <family val="2"/>
    </font>
    <font>
      <b/>
      <sz val="14"/>
      <color indexed="10"/>
      <name val="Times New Roman"/>
      <family val="1"/>
    </font>
    <font>
      <sz val="12"/>
      <color indexed="10"/>
      <name val="TIMES"/>
      <family val="0"/>
    </font>
    <font>
      <u val="single"/>
      <sz val="12"/>
      <name val="Times New Roman"/>
      <family val="1"/>
    </font>
    <font>
      <sz val="10"/>
      <name val="Arial"/>
      <family val="2"/>
    </font>
    <font>
      <sz val="12"/>
      <name val="Arial"/>
      <family val="2"/>
    </font>
    <font>
      <sz val="10"/>
      <color indexed="12"/>
      <name val="Arial"/>
      <family val="2"/>
    </font>
    <font>
      <sz val="8"/>
      <name val="Tahoma"/>
      <family val="2"/>
    </font>
    <font>
      <sz val="10"/>
      <color indexed="10"/>
      <name val="Arial"/>
      <family val="2"/>
    </font>
    <font>
      <sz val="10"/>
      <color indexed="20"/>
      <name val="Arial"/>
      <family val="2"/>
    </font>
    <font>
      <b/>
      <sz val="14"/>
      <name val="TIMES"/>
      <family val="0"/>
    </font>
    <font>
      <u val="single"/>
      <sz val="12"/>
      <name val="TIMES"/>
      <family val="0"/>
    </font>
    <font>
      <b/>
      <sz val="18"/>
      <color indexed="12"/>
      <name val="Times New Roman"/>
      <family val="1"/>
    </font>
    <font>
      <b/>
      <sz val="12"/>
      <color indexed="12"/>
      <name val="Times New Roman"/>
      <family val="1"/>
    </font>
    <font>
      <sz val="12"/>
      <color indexed="10"/>
      <name val="Times New Roman"/>
      <family val="1"/>
    </font>
    <font>
      <sz val="16"/>
      <color indexed="10"/>
      <name val="Times New Roman"/>
      <family val="1"/>
    </font>
    <font>
      <sz val="16"/>
      <name val="Times New Roman"/>
      <family val="1"/>
    </font>
    <font>
      <b/>
      <sz val="18"/>
      <name val="Times New Roman"/>
      <family val="1"/>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16"/>
        <bgColor indexed="64"/>
      </patternFill>
    </fill>
    <fill>
      <patternFill patternType="solid">
        <fgColor indexed="9"/>
        <bgColor indexed="64"/>
      </patternFill>
    </fill>
    <fill>
      <patternFill patternType="solid">
        <fgColor indexed="61"/>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rgb="FFCCFFFF"/>
        <bgColor indexed="64"/>
      </patternFill>
    </fill>
    <fill>
      <patternFill patternType="solid">
        <fgColor rgb="FFFFFF99"/>
        <bgColor indexed="64"/>
      </patternFill>
    </fill>
    <fill>
      <patternFill patternType="solid">
        <fgColor theme="4" tint="0.5999600291252136"/>
        <bgColor indexed="64"/>
      </patternFill>
    </fill>
    <fill>
      <patternFill patternType="solid">
        <fgColor theme="6" tint="0.5999600291252136"/>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style="thin"/>
      <right style="thin"/>
      <top style="thin"/>
      <bottom style="medium"/>
    </border>
    <border>
      <left>
        <color indexed="63"/>
      </left>
      <right>
        <color indexed="63"/>
      </right>
      <top style="thin"/>
      <bottom>
        <color indexed="63"/>
      </bottom>
    </border>
    <border>
      <left style="thin"/>
      <right style="thin"/>
      <top style="thin">
        <color indexed="8"/>
      </top>
      <bottom>
        <color indexed="63"/>
      </bottom>
    </border>
    <border>
      <left style="thin"/>
      <right style="thin"/>
      <top style="thin"/>
      <bottom>
        <color indexed="63"/>
      </bottom>
    </border>
    <border>
      <left style="thin"/>
      <right>
        <color indexed="63"/>
      </right>
      <top style="thin">
        <color indexed="8"/>
      </top>
      <bottom>
        <color indexed="63"/>
      </bottom>
    </border>
    <border>
      <left style="thin"/>
      <right style="thin">
        <color indexed="8"/>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thin">
        <color indexed="8"/>
      </right>
      <top>
        <color indexed="63"/>
      </top>
      <bottom>
        <color indexed="63"/>
      </bottom>
    </border>
    <border>
      <left>
        <color indexed="63"/>
      </left>
      <right style="thin"/>
      <top>
        <color indexed="63"/>
      </top>
      <bottom style="thin"/>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style="thin">
        <color indexed="8"/>
      </left>
      <right style="thin"/>
      <top style="thin"/>
      <bottom>
        <color indexed="63"/>
      </bottom>
    </border>
    <border>
      <left style="thin"/>
      <right>
        <color indexed="63"/>
      </right>
      <top>
        <color indexed="63"/>
      </top>
      <bottom style="thin"/>
    </border>
    <border>
      <left style="thin"/>
      <right style="thin"/>
      <top style="thin">
        <color indexed="8"/>
      </top>
      <bottom style="thin"/>
    </border>
    <border>
      <left>
        <color indexed="63"/>
      </left>
      <right>
        <color indexed="63"/>
      </right>
      <top style="thin"/>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color indexed="63"/>
      </bottom>
    </border>
    <border>
      <left>
        <color indexed="63"/>
      </left>
      <right style="thin">
        <color indexed="8"/>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color indexed="63"/>
      </top>
      <bottom style="thin">
        <color indexed="8"/>
      </bottom>
    </border>
    <border>
      <left style="thin"/>
      <right style="thin"/>
      <top style="medium"/>
      <bottom>
        <color indexed="63"/>
      </bottom>
    </border>
    <border>
      <left>
        <color indexed="63"/>
      </left>
      <right style="thin">
        <color indexed="8"/>
      </right>
      <top>
        <color indexed="63"/>
      </top>
      <bottom style="thin">
        <color indexed="8"/>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color indexed="63"/>
      </left>
      <right style="thin"/>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2" fillId="0" borderId="0">
      <alignment/>
      <protection/>
    </xf>
    <xf numFmtId="164" fontId="3"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16">
    <xf numFmtId="0" fontId="0" fillId="0" borderId="0" xfId="0" applyAlignment="1">
      <alignment/>
    </xf>
    <xf numFmtId="164" fontId="3" fillId="0" borderId="0" xfId="58">
      <alignment/>
      <protection/>
    </xf>
    <xf numFmtId="164" fontId="3" fillId="0" borderId="0" xfId="58" applyBorder="1">
      <alignment/>
      <protection/>
    </xf>
    <xf numFmtId="164" fontId="3" fillId="33" borderId="0" xfId="58" applyFill="1">
      <alignment/>
      <protection/>
    </xf>
    <xf numFmtId="164" fontId="6" fillId="0" borderId="0" xfId="58" applyNumberFormat="1" applyFont="1" applyAlignment="1" applyProtection="1">
      <alignment horizontal="center"/>
      <protection/>
    </xf>
    <xf numFmtId="164" fontId="3" fillId="33" borderId="0" xfId="58" applyFill="1" applyAlignment="1">
      <alignment horizontal="center"/>
      <protection/>
    </xf>
    <xf numFmtId="164" fontId="6" fillId="33" borderId="0" xfId="58" applyNumberFormat="1" applyFont="1" applyFill="1" applyAlignment="1" applyProtection="1">
      <alignment horizontal="center"/>
      <protection/>
    </xf>
    <xf numFmtId="164" fontId="3" fillId="33" borderId="0" xfId="58" applyNumberFormat="1" applyFill="1" applyProtection="1">
      <alignment/>
      <protection/>
    </xf>
    <xf numFmtId="164" fontId="7" fillId="0" borderId="0" xfId="58" applyNumberFormat="1" applyFont="1" applyAlignment="1" applyProtection="1">
      <alignment horizontal="left"/>
      <protection/>
    </xf>
    <xf numFmtId="164" fontId="9" fillId="0" borderId="0" xfId="58" applyNumberFormat="1" applyFont="1" applyAlignment="1" applyProtection="1">
      <alignment horizontal="left"/>
      <protection/>
    </xf>
    <xf numFmtId="164" fontId="10" fillId="33" borderId="0" xfId="58" applyNumberFormat="1" applyFont="1" applyFill="1" applyProtection="1">
      <alignment/>
      <protection/>
    </xf>
    <xf numFmtId="164" fontId="3" fillId="33" borderId="0" xfId="58" applyFill="1" applyProtection="1">
      <alignment/>
      <protection/>
    </xf>
    <xf numFmtId="164" fontId="11" fillId="33" borderId="0" xfId="58" applyNumberFormat="1" applyFont="1" applyFill="1" applyProtection="1">
      <alignment/>
      <protection/>
    </xf>
    <xf numFmtId="164" fontId="12" fillId="0" borderId="0" xfId="58" applyNumberFormat="1" applyFont="1" applyAlignment="1" applyProtection="1">
      <alignment horizontal="center"/>
      <protection/>
    </xf>
    <xf numFmtId="164" fontId="11" fillId="33" borderId="0" xfId="58" applyNumberFormat="1" applyFont="1" applyFill="1" applyAlignment="1" applyProtection="1">
      <alignment horizontal="center"/>
      <protection/>
    </xf>
    <xf numFmtId="164" fontId="12" fillId="33" borderId="0" xfId="58" applyNumberFormat="1" applyFont="1" applyFill="1" applyAlignment="1" applyProtection="1">
      <alignment horizontal="center"/>
      <protection/>
    </xf>
    <xf numFmtId="0" fontId="13" fillId="0" borderId="10" xfId="58" applyNumberFormat="1" applyFont="1" applyBorder="1" applyAlignment="1" applyProtection="1">
      <alignment horizontal="center" wrapText="1"/>
      <protection locked="0"/>
    </xf>
    <xf numFmtId="164" fontId="13" fillId="0" borderId="10" xfId="58" applyNumberFormat="1" applyFont="1" applyBorder="1" applyAlignment="1" applyProtection="1">
      <alignment horizontal="center" wrapText="1"/>
      <protection locked="0"/>
    </xf>
    <xf numFmtId="164" fontId="13" fillId="0" borderId="11" xfId="58" applyNumberFormat="1" applyFont="1" applyBorder="1" applyAlignment="1" applyProtection="1">
      <alignment horizontal="center" wrapText="1"/>
      <protection locked="0"/>
    </xf>
    <xf numFmtId="164" fontId="11" fillId="0" borderId="12" xfId="58" applyNumberFormat="1" applyFont="1" applyBorder="1" applyAlignment="1" applyProtection="1">
      <alignment horizontal="center"/>
      <protection/>
    </xf>
    <xf numFmtId="164" fontId="11" fillId="0" borderId="0" xfId="58" applyNumberFormat="1" applyFont="1" applyProtection="1">
      <alignment/>
      <protection/>
    </xf>
    <xf numFmtId="164" fontId="13" fillId="0" borderId="13" xfId="58" applyNumberFormat="1" applyFont="1" applyBorder="1" applyAlignment="1" applyProtection="1">
      <alignment horizontal="center" wrapText="1"/>
      <protection locked="0"/>
    </xf>
    <xf numFmtId="164" fontId="11" fillId="0" borderId="14" xfId="58" applyNumberFormat="1" applyFont="1" applyBorder="1" applyAlignment="1" applyProtection="1">
      <alignment horizontal="center"/>
      <protection/>
    </xf>
    <xf numFmtId="164" fontId="11" fillId="0" borderId="0" xfId="58" applyNumberFormat="1" applyFont="1" applyAlignment="1" applyProtection="1">
      <alignment horizontal="left"/>
      <protection/>
    </xf>
    <xf numFmtId="164" fontId="11" fillId="33" borderId="14" xfId="58" applyNumberFormat="1" applyFont="1" applyFill="1" applyBorder="1" applyProtection="1">
      <alignment/>
      <protection/>
    </xf>
    <xf numFmtId="7" fontId="13" fillId="0" borderId="15" xfId="58" applyNumberFormat="1" applyFont="1" applyBorder="1" applyAlignment="1" applyProtection="1">
      <alignment horizontal="center"/>
      <protection locked="0"/>
    </xf>
    <xf numFmtId="7" fontId="13" fillId="0" borderId="15" xfId="58" applyNumberFormat="1" applyFont="1" applyFill="1" applyBorder="1" applyAlignment="1" applyProtection="1">
      <alignment horizontal="center"/>
      <protection locked="0"/>
    </xf>
    <xf numFmtId="7" fontId="13" fillId="0" borderId="14" xfId="58" applyNumberFormat="1" applyFont="1" applyBorder="1" applyAlignment="1" applyProtection="1">
      <alignment horizontal="center"/>
      <protection locked="0"/>
    </xf>
    <xf numFmtId="164" fontId="11" fillId="33" borderId="14" xfId="58" applyNumberFormat="1" applyFont="1" applyFill="1" applyBorder="1" applyAlignment="1" applyProtection="1">
      <alignment horizontal="center"/>
      <protection/>
    </xf>
    <xf numFmtId="7" fontId="13" fillId="0" borderId="16" xfId="58" applyNumberFormat="1" applyFont="1" applyBorder="1" applyAlignment="1" applyProtection="1">
      <alignment horizontal="center"/>
      <protection locked="0"/>
    </xf>
    <xf numFmtId="7" fontId="13" fillId="0" borderId="17" xfId="58" applyNumberFormat="1" applyFont="1" applyBorder="1" applyAlignment="1" applyProtection="1">
      <alignment horizontal="center"/>
      <protection locked="0"/>
    </xf>
    <xf numFmtId="7" fontId="13" fillId="0" borderId="17" xfId="58" applyNumberFormat="1" applyFont="1" applyFill="1" applyBorder="1" applyAlignment="1" applyProtection="1">
      <alignment horizontal="center"/>
      <protection locked="0"/>
    </xf>
    <xf numFmtId="7" fontId="13" fillId="0" borderId="18" xfId="58" applyNumberFormat="1" applyFont="1" applyBorder="1" applyAlignment="1" applyProtection="1">
      <alignment horizontal="center"/>
      <protection locked="0"/>
    </xf>
    <xf numFmtId="164" fontId="11" fillId="33" borderId="0" xfId="58" applyNumberFormat="1" applyFont="1" applyFill="1" applyBorder="1" applyAlignment="1" applyProtection="1">
      <alignment horizontal="center"/>
      <protection/>
    </xf>
    <xf numFmtId="164" fontId="12" fillId="34" borderId="0" xfId="58" applyNumberFormat="1" applyFont="1" applyFill="1" applyProtection="1">
      <alignment/>
      <protection/>
    </xf>
    <xf numFmtId="171" fontId="12" fillId="34" borderId="19" xfId="44" applyNumberFormat="1" applyFont="1" applyFill="1" applyBorder="1" applyAlignment="1" applyProtection="1">
      <alignment horizontal="center"/>
      <protection/>
    </xf>
    <xf numFmtId="171" fontId="12" fillId="34" borderId="0" xfId="44" applyNumberFormat="1" applyFont="1" applyFill="1" applyAlignment="1" applyProtection="1">
      <alignment horizontal="center"/>
      <protection/>
    </xf>
    <xf numFmtId="164" fontId="11" fillId="33" borderId="0" xfId="58" applyNumberFormat="1" applyFont="1" applyFill="1" applyAlignment="1" applyProtection="1">
      <alignment horizontal="left"/>
      <protection/>
    </xf>
    <xf numFmtId="164" fontId="11" fillId="33" borderId="0" xfId="58" applyNumberFormat="1" applyFont="1" applyFill="1" applyBorder="1" applyProtection="1">
      <alignment/>
      <protection/>
    </xf>
    <xf numFmtId="164" fontId="3" fillId="33" borderId="20" xfId="58" applyFill="1" applyBorder="1" applyProtection="1">
      <alignment/>
      <protection/>
    </xf>
    <xf numFmtId="164" fontId="11" fillId="0" borderId="19" xfId="58" applyNumberFormat="1" applyFont="1" applyBorder="1" applyProtection="1">
      <alignment/>
      <protection/>
    </xf>
    <xf numFmtId="164" fontId="3" fillId="0" borderId="0" xfId="58" applyNumberFormat="1" applyProtection="1">
      <alignment/>
      <protection/>
    </xf>
    <xf numFmtId="164" fontId="5" fillId="0" borderId="0" xfId="58" applyNumberFormat="1" applyFont="1" applyProtection="1">
      <alignment/>
      <protection locked="0"/>
    </xf>
    <xf numFmtId="164" fontId="11" fillId="0" borderId="0" xfId="58" applyNumberFormat="1" applyFont="1" applyBorder="1" applyProtection="1">
      <alignment/>
      <protection/>
    </xf>
    <xf numFmtId="164" fontId="3" fillId="0" borderId="0" xfId="58" applyNumberFormat="1" applyAlignment="1" applyProtection="1" quotePrefix="1">
      <alignment horizontal="left"/>
      <protection/>
    </xf>
    <xf numFmtId="164" fontId="11" fillId="0" borderId="0" xfId="58" applyFont="1">
      <alignment/>
      <protection/>
    </xf>
    <xf numFmtId="164" fontId="16" fillId="35" borderId="0" xfId="58" applyFont="1" applyFill="1" applyProtection="1">
      <alignment/>
      <protection/>
    </xf>
    <xf numFmtId="164" fontId="3" fillId="35" borderId="21" xfId="58" applyFont="1" applyFill="1" applyBorder="1" applyAlignment="1" applyProtection="1">
      <alignment horizontal="center"/>
      <protection/>
    </xf>
    <xf numFmtId="164" fontId="4" fillId="35" borderId="0" xfId="58" applyFont="1" applyFill="1" applyAlignment="1" applyProtection="1">
      <alignment horizontal="right"/>
      <protection/>
    </xf>
    <xf numFmtId="164" fontId="4" fillId="35" borderId="12" xfId="58" applyFont="1" applyFill="1" applyBorder="1" applyAlignment="1" applyProtection="1">
      <alignment horizontal="center"/>
      <protection/>
    </xf>
    <xf numFmtId="164" fontId="3" fillId="33" borderId="0" xfId="58" applyFill="1" applyBorder="1">
      <alignment/>
      <protection/>
    </xf>
    <xf numFmtId="164" fontId="11" fillId="33" borderId="0" xfId="58" applyFont="1" applyFill="1" applyProtection="1">
      <alignment/>
      <protection/>
    </xf>
    <xf numFmtId="164" fontId="11" fillId="33" borderId="22" xfId="58" applyNumberFormat="1" applyFont="1" applyFill="1" applyBorder="1" applyProtection="1">
      <alignment/>
      <protection/>
    </xf>
    <xf numFmtId="164" fontId="3" fillId="0" borderId="0" xfId="58" applyAlignment="1">
      <alignment/>
      <protection/>
    </xf>
    <xf numFmtId="164" fontId="4" fillId="33" borderId="0" xfId="58" applyFont="1" applyFill="1" applyBorder="1" applyAlignment="1">
      <alignment/>
      <protection/>
    </xf>
    <xf numFmtId="164" fontId="3" fillId="33" borderId="0" xfId="58" applyNumberFormat="1" applyFill="1" applyBorder="1" applyProtection="1">
      <alignment/>
      <protection/>
    </xf>
    <xf numFmtId="164" fontId="11" fillId="33" borderId="0" xfId="58" applyNumberFormat="1" applyFont="1" applyFill="1" applyBorder="1" applyAlignment="1" applyProtection="1" quotePrefix="1">
      <alignment horizontal="left"/>
      <protection/>
    </xf>
    <xf numFmtId="164" fontId="3" fillId="33" borderId="0" xfId="58" applyFill="1" applyBorder="1" applyAlignment="1">
      <alignment/>
      <protection/>
    </xf>
    <xf numFmtId="164" fontId="4" fillId="35" borderId="0" xfId="58" applyFont="1" applyFill="1" applyProtection="1">
      <alignment/>
      <protection/>
    </xf>
    <xf numFmtId="164" fontId="12" fillId="35" borderId="0" xfId="58" applyNumberFormat="1" applyFont="1" applyFill="1" applyAlignment="1" applyProtection="1">
      <alignment horizontal="left"/>
      <protection/>
    </xf>
    <xf numFmtId="164" fontId="11" fillId="33" borderId="20" xfId="58" applyNumberFormat="1" applyFont="1" applyFill="1" applyBorder="1" applyProtection="1">
      <alignment/>
      <protection/>
    </xf>
    <xf numFmtId="164" fontId="11" fillId="33" borderId="19" xfId="58" applyNumberFormat="1" applyFont="1" applyFill="1" applyBorder="1" applyProtection="1">
      <alignment/>
      <protection/>
    </xf>
    <xf numFmtId="164" fontId="11" fillId="0" borderId="23" xfId="58" applyNumberFormat="1" applyFont="1" applyBorder="1" applyAlignment="1" applyProtection="1">
      <alignment horizontal="center"/>
      <protection/>
    </xf>
    <xf numFmtId="164" fontId="3" fillId="0" borderId="24" xfId="58" applyBorder="1" applyAlignment="1">
      <alignment horizontal="center"/>
      <protection/>
    </xf>
    <xf numFmtId="164" fontId="11" fillId="0" borderId="19" xfId="58" applyNumberFormat="1" applyFont="1" applyBorder="1" applyAlignment="1" applyProtection="1">
      <alignment horizontal="center"/>
      <protection/>
    </xf>
    <xf numFmtId="164" fontId="11" fillId="0" borderId="25" xfId="58" applyNumberFormat="1" applyFont="1" applyBorder="1" applyAlignment="1" applyProtection="1">
      <alignment horizontal="center"/>
      <protection/>
    </xf>
    <xf numFmtId="164" fontId="11" fillId="0" borderId="26" xfId="58" applyNumberFormat="1" applyFont="1" applyBorder="1" applyAlignment="1" applyProtection="1">
      <alignment horizontal="center"/>
      <protection/>
    </xf>
    <xf numFmtId="164" fontId="3" fillId="33" borderId="14" xfId="58" applyNumberFormat="1" applyFill="1" applyBorder="1" applyProtection="1">
      <alignment/>
      <protection/>
    </xf>
    <xf numFmtId="164" fontId="11" fillId="0" borderId="27" xfId="58" applyNumberFormat="1" applyFont="1" applyBorder="1" applyAlignment="1" applyProtection="1">
      <alignment horizontal="center"/>
      <protection/>
    </xf>
    <xf numFmtId="164" fontId="3" fillId="0" borderId="27" xfId="58" applyBorder="1" applyAlignment="1">
      <alignment horizontal="center"/>
      <protection/>
    </xf>
    <xf numFmtId="164" fontId="11" fillId="0" borderId="0" xfId="58" applyNumberFormat="1" applyFont="1" applyAlignment="1" applyProtection="1">
      <alignment horizontal="center"/>
      <protection/>
    </xf>
    <xf numFmtId="164" fontId="11" fillId="0" borderId="28" xfId="58" applyNumberFormat="1" applyFont="1" applyBorder="1" applyAlignment="1" applyProtection="1">
      <alignment horizontal="center"/>
      <protection/>
    </xf>
    <xf numFmtId="164" fontId="11" fillId="0" borderId="0" xfId="58" applyNumberFormat="1" applyFont="1" applyAlignment="1" applyProtection="1" quotePrefix="1">
      <alignment horizontal="left"/>
      <protection/>
    </xf>
    <xf numFmtId="164" fontId="11" fillId="0" borderId="29" xfId="58" applyNumberFormat="1" applyFont="1" applyBorder="1" applyAlignment="1" applyProtection="1">
      <alignment horizontal="center"/>
      <protection/>
    </xf>
    <xf numFmtId="164" fontId="11" fillId="0" borderId="30" xfId="58" applyNumberFormat="1" applyFont="1" applyBorder="1" applyAlignment="1" applyProtection="1">
      <alignment horizontal="center"/>
      <protection/>
    </xf>
    <xf numFmtId="164" fontId="11" fillId="0" borderId="16" xfId="58" applyNumberFormat="1" applyFont="1" applyBorder="1" applyAlignment="1" applyProtection="1">
      <alignment horizontal="center"/>
      <protection/>
    </xf>
    <xf numFmtId="164" fontId="11" fillId="36" borderId="11" xfId="58" applyNumberFormat="1" applyFont="1" applyFill="1" applyBorder="1" applyProtection="1">
      <alignment/>
      <protection/>
    </xf>
    <xf numFmtId="164" fontId="3" fillId="36" borderId="26" xfId="58" applyFill="1" applyBorder="1">
      <alignment/>
      <protection/>
    </xf>
    <xf numFmtId="3" fontId="3" fillId="0" borderId="26" xfId="58" applyNumberFormat="1" applyBorder="1">
      <alignment/>
      <protection/>
    </xf>
    <xf numFmtId="9" fontId="13" fillId="0" borderId="14" xfId="58" applyNumberFormat="1" applyFont="1" applyBorder="1" applyProtection="1">
      <alignment/>
      <protection locked="0"/>
    </xf>
    <xf numFmtId="184" fontId="11" fillId="0" borderId="14" xfId="42" applyNumberFormat="1" applyFont="1" applyBorder="1" applyAlignment="1" applyProtection="1">
      <alignment/>
      <protection/>
    </xf>
    <xf numFmtId="164" fontId="3" fillId="0" borderId="20" xfId="58" applyBorder="1" applyAlignment="1">
      <alignment/>
      <protection/>
    </xf>
    <xf numFmtId="9" fontId="13" fillId="0" borderId="31" xfId="58" applyNumberFormat="1" applyFont="1" applyBorder="1" applyProtection="1">
      <alignment/>
      <protection locked="0"/>
    </xf>
    <xf numFmtId="172" fontId="13" fillId="0" borderId="14" xfId="58" applyNumberFormat="1" applyFont="1" applyBorder="1" applyProtection="1">
      <alignment/>
      <protection locked="0"/>
    </xf>
    <xf numFmtId="165" fontId="13" fillId="0" borderId="14" xfId="58" applyNumberFormat="1" applyFont="1" applyFill="1" applyBorder="1" applyAlignment="1" applyProtection="1">
      <alignment horizontal="right"/>
      <protection locked="0"/>
    </xf>
    <xf numFmtId="184" fontId="11" fillId="0" borderId="14" xfId="42" applyNumberFormat="1" applyFont="1" applyFill="1" applyBorder="1" applyAlignment="1" applyProtection="1">
      <alignment/>
      <protection/>
    </xf>
    <xf numFmtId="172" fontId="13" fillId="0" borderId="14" xfId="58" applyNumberFormat="1" applyFont="1" applyFill="1" applyBorder="1" applyProtection="1">
      <alignment/>
      <protection locked="0"/>
    </xf>
    <xf numFmtId="9" fontId="5" fillId="0" borderId="0" xfId="58" applyNumberFormat="1" applyFont="1">
      <alignment/>
      <protection/>
    </xf>
    <xf numFmtId="164" fontId="5" fillId="33" borderId="14" xfId="58" applyNumberFormat="1" applyFont="1" applyFill="1" applyBorder="1" applyProtection="1">
      <alignment/>
      <protection/>
    </xf>
    <xf numFmtId="164" fontId="13" fillId="0" borderId="14" xfId="58" applyNumberFormat="1" applyFont="1" applyBorder="1" applyProtection="1">
      <alignment/>
      <protection locked="0"/>
    </xf>
    <xf numFmtId="167" fontId="11" fillId="33" borderId="14" xfId="58" applyNumberFormat="1" applyFont="1" applyFill="1" applyBorder="1" applyProtection="1">
      <alignment/>
      <protection/>
    </xf>
    <xf numFmtId="43" fontId="11" fillId="33" borderId="14" xfId="42" applyFont="1" applyFill="1" applyBorder="1" applyAlignment="1" applyProtection="1">
      <alignment/>
      <protection/>
    </xf>
    <xf numFmtId="172" fontId="13" fillId="0" borderId="31" xfId="58" applyNumberFormat="1" applyFont="1" applyBorder="1" applyProtection="1">
      <alignment/>
      <protection locked="0"/>
    </xf>
    <xf numFmtId="167" fontId="11" fillId="33" borderId="31" xfId="58" applyNumberFormat="1" applyFont="1" applyFill="1" applyBorder="1" applyProtection="1">
      <alignment/>
      <protection/>
    </xf>
    <xf numFmtId="43" fontId="11" fillId="33" borderId="31" xfId="42" applyFont="1" applyFill="1" applyBorder="1" applyAlignment="1" applyProtection="1">
      <alignment/>
      <protection/>
    </xf>
    <xf numFmtId="43" fontId="11" fillId="33" borderId="32" xfId="42" applyFont="1" applyFill="1" applyBorder="1" applyAlignment="1" applyProtection="1">
      <alignment/>
      <protection/>
    </xf>
    <xf numFmtId="164" fontId="3" fillId="0" borderId="0" xfId="58" applyBorder="1" applyAlignment="1">
      <alignment horizontal="left"/>
      <protection/>
    </xf>
    <xf numFmtId="164" fontId="3" fillId="0" borderId="0" xfId="58" applyBorder="1" applyAlignment="1">
      <alignment/>
      <protection/>
    </xf>
    <xf numFmtId="164" fontId="11" fillId="0" borderId="19" xfId="58" applyNumberFormat="1" applyFont="1" applyBorder="1" applyAlignment="1" applyProtection="1" quotePrefix="1">
      <alignment horizontal="left"/>
      <protection/>
    </xf>
    <xf numFmtId="43" fontId="11" fillId="36" borderId="11" xfId="42" applyFont="1" applyFill="1" applyBorder="1" applyAlignment="1" applyProtection="1">
      <alignment/>
      <protection/>
    </xf>
    <xf numFmtId="43" fontId="11" fillId="36" borderId="14" xfId="42" applyFont="1" applyFill="1" applyBorder="1" applyAlignment="1" applyProtection="1">
      <alignment/>
      <protection/>
    </xf>
    <xf numFmtId="165" fontId="13" fillId="0" borderId="14" xfId="58" applyNumberFormat="1" applyFont="1" applyBorder="1" applyProtection="1">
      <alignment/>
      <protection locked="0"/>
    </xf>
    <xf numFmtId="9" fontId="13" fillId="0" borderId="14" xfId="42" applyNumberFormat="1" applyFont="1" applyBorder="1" applyAlignment="1" applyProtection="1">
      <alignment/>
      <protection/>
    </xf>
    <xf numFmtId="164" fontId="11" fillId="0" borderId="20" xfId="58" applyNumberFormat="1" applyFont="1" applyBorder="1" applyProtection="1">
      <alignment/>
      <protection/>
    </xf>
    <xf numFmtId="9" fontId="13" fillId="0" borderId="31" xfId="42" applyNumberFormat="1" applyFont="1" applyBorder="1" applyAlignment="1" applyProtection="1">
      <alignment/>
      <protection/>
    </xf>
    <xf numFmtId="164" fontId="13" fillId="0" borderId="31" xfId="58" applyNumberFormat="1" applyFont="1" applyFill="1" applyBorder="1" applyProtection="1">
      <alignment/>
      <protection locked="0"/>
    </xf>
    <xf numFmtId="164" fontId="11" fillId="33" borderId="31" xfId="58" applyNumberFormat="1" applyFont="1" applyFill="1" applyBorder="1" applyProtection="1">
      <alignment/>
      <protection/>
    </xf>
    <xf numFmtId="164" fontId="11" fillId="33" borderId="33" xfId="58" applyNumberFormat="1" applyFont="1" applyFill="1" applyBorder="1" applyProtection="1">
      <alignment/>
      <protection/>
    </xf>
    <xf numFmtId="164" fontId="11" fillId="33" borderId="32" xfId="58" applyNumberFormat="1" applyFont="1" applyFill="1" applyBorder="1" applyProtection="1">
      <alignment/>
      <protection/>
    </xf>
    <xf numFmtId="172" fontId="17" fillId="0" borderId="14" xfId="58" applyNumberFormat="1" applyFont="1" applyFill="1" applyBorder="1" applyProtection="1">
      <alignment/>
      <protection locked="0"/>
    </xf>
    <xf numFmtId="167" fontId="11" fillId="0" borderId="34" xfId="58" applyNumberFormat="1" applyFont="1" applyFill="1" applyBorder="1" applyProtection="1">
      <alignment/>
      <protection/>
    </xf>
    <xf numFmtId="43" fontId="11" fillId="0" borderId="14" xfId="42" applyFont="1" applyFill="1" applyBorder="1" applyAlignment="1" applyProtection="1">
      <alignment/>
      <protection/>
    </xf>
    <xf numFmtId="171" fontId="11" fillId="0" borderId="14" xfId="58" applyNumberFormat="1" applyFont="1" applyFill="1" applyBorder="1" applyProtection="1">
      <alignment/>
      <protection locked="0"/>
    </xf>
    <xf numFmtId="171" fontId="11" fillId="0" borderId="14" xfId="42" applyNumberFormat="1" applyFont="1" applyFill="1" applyBorder="1" applyAlignment="1" applyProtection="1">
      <alignment/>
      <protection/>
    </xf>
    <xf numFmtId="164" fontId="3" fillId="0" borderId="20" xfId="58" applyBorder="1" applyAlignment="1">
      <alignment horizontal="left"/>
      <protection/>
    </xf>
    <xf numFmtId="172" fontId="13" fillId="36" borderId="31" xfId="58" applyNumberFormat="1" applyFont="1" applyFill="1" applyBorder="1" applyProtection="1">
      <alignment/>
      <protection locked="0"/>
    </xf>
    <xf numFmtId="167" fontId="11" fillId="36" borderId="35" xfId="58" applyNumberFormat="1" applyFont="1" applyFill="1" applyBorder="1" applyProtection="1">
      <alignment/>
      <protection/>
    </xf>
    <xf numFmtId="43" fontId="11" fillId="36" borderId="31" xfId="42" applyFont="1" applyFill="1" applyBorder="1" applyAlignment="1" applyProtection="1">
      <alignment/>
      <protection/>
    </xf>
    <xf numFmtId="43" fontId="11" fillId="36" borderId="32" xfId="42" applyFont="1" applyFill="1" applyBorder="1" applyAlignment="1" applyProtection="1">
      <alignment/>
      <protection/>
    </xf>
    <xf numFmtId="167" fontId="11" fillId="0" borderId="26" xfId="58" applyNumberFormat="1" applyFont="1" applyFill="1" applyBorder="1" applyProtection="1">
      <alignment/>
      <protection/>
    </xf>
    <xf numFmtId="164" fontId="11" fillId="0" borderId="0" xfId="58" applyNumberFormat="1" applyFont="1" applyFill="1" applyAlignment="1" applyProtection="1">
      <alignment/>
      <protection locked="0"/>
    </xf>
    <xf numFmtId="164" fontId="11" fillId="0" borderId="36" xfId="58" applyNumberFormat="1" applyFont="1" applyFill="1" applyBorder="1" applyAlignment="1" applyProtection="1">
      <alignment/>
      <protection locked="0"/>
    </xf>
    <xf numFmtId="43" fontId="11" fillId="0" borderId="32" xfId="42" applyFont="1" applyFill="1" applyBorder="1" applyAlignment="1" applyProtection="1">
      <alignment/>
      <protection/>
    </xf>
    <xf numFmtId="171" fontId="11" fillId="0" borderId="12" xfId="58" applyNumberFormat="1" applyFont="1" applyBorder="1" applyProtection="1">
      <alignment/>
      <protection/>
    </xf>
    <xf numFmtId="7" fontId="11" fillId="33" borderId="37" xfId="58" applyNumberFormat="1" applyFont="1" applyFill="1" applyBorder="1" applyProtection="1">
      <alignment/>
      <protection/>
    </xf>
    <xf numFmtId="171" fontId="11" fillId="0" borderId="38" xfId="58" applyNumberFormat="1" applyFont="1" applyBorder="1" applyProtection="1">
      <alignment/>
      <protection/>
    </xf>
    <xf numFmtId="164" fontId="11" fillId="36" borderId="0" xfId="58" applyNumberFormat="1" applyFont="1" applyFill="1" applyProtection="1">
      <alignment/>
      <protection/>
    </xf>
    <xf numFmtId="164" fontId="11" fillId="36" borderId="0" xfId="58" applyNumberFormat="1" applyFont="1" applyFill="1" applyBorder="1" applyProtection="1">
      <alignment/>
      <protection/>
    </xf>
    <xf numFmtId="164" fontId="3" fillId="35" borderId="0" xfId="58" applyFill="1" applyProtection="1">
      <alignment/>
      <protection/>
    </xf>
    <xf numFmtId="164" fontId="3" fillId="35" borderId="12" xfId="58" applyFont="1" applyFill="1" applyBorder="1" applyAlignment="1" applyProtection="1">
      <alignment horizontal="center"/>
      <protection/>
    </xf>
    <xf numFmtId="164" fontId="11" fillId="0" borderId="0" xfId="58" applyNumberFormat="1" applyFont="1" applyFill="1" applyBorder="1" applyAlignment="1" applyProtection="1">
      <alignment/>
      <protection locked="0"/>
    </xf>
    <xf numFmtId="165" fontId="13" fillId="0" borderId="27" xfId="58" applyNumberFormat="1" applyFont="1" applyBorder="1" applyProtection="1">
      <alignment/>
      <protection locked="0"/>
    </xf>
    <xf numFmtId="184" fontId="11" fillId="0" borderId="33" xfId="42" applyNumberFormat="1" applyFont="1" applyBorder="1" applyAlignment="1" applyProtection="1">
      <alignment/>
      <protection/>
    </xf>
    <xf numFmtId="43" fontId="11" fillId="0" borderId="33" xfId="42" applyFont="1" applyBorder="1" applyAlignment="1" applyProtection="1">
      <alignment/>
      <protection/>
    </xf>
    <xf numFmtId="171" fontId="11" fillId="0" borderId="39" xfId="58" applyNumberFormat="1" applyFont="1" applyBorder="1" applyProtection="1">
      <alignment/>
      <protection/>
    </xf>
    <xf numFmtId="7" fontId="11" fillId="33" borderId="40" xfId="58" applyNumberFormat="1" applyFont="1" applyFill="1" applyBorder="1" applyProtection="1">
      <alignment/>
      <protection/>
    </xf>
    <xf numFmtId="171" fontId="11" fillId="0" borderId="14" xfId="42" applyNumberFormat="1" applyFont="1" applyBorder="1" applyAlignment="1" applyProtection="1">
      <alignment/>
      <protection/>
    </xf>
    <xf numFmtId="167" fontId="11" fillId="0" borderId="24" xfId="58" applyNumberFormat="1" applyFont="1" applyFill="1" applyBorder="1" applyProtection="1">
      <alignment/>
      <protection/>
    </xf>
    <xf numFmtId="190" fontId="11" fillId="0" borderId="0" xfId="42" applyNumberFormat="1" applyFont="1" applyFill="1" applyBorder="1" applyAlignment="1" applyProtection="1">
      <alignment/>
      <protection/>
    </xf>
    <xf numFmtId="9" fontId="13" fillId="0" borderId="27" xfId="58" applyNumberFormat="1" applyFont="1" applyBorder="1" applyProtection="1">
      <alignment/>
      <protection locked="0"/>
    </xf>
    <xf numFmtId="184" fontId="11" fillId="0" borderId="0" xfId="42" applyNumberFormat="1" applyFont="1" applyBorder="1" applyAlignment="1" applyProtection="1">
      <alignment/>
      <protection/>
    </xf>
    <xf numFmtId="164" fontId="3" fillId="0" borderId="0" xfId="58" applyAlignment="1">
      <alignment horizontal="center"/>
      <protection/>
    </xf>
    <xf numFmtId="172" fontId="17" fillId="0" borderId="41" xfId="58" applyNumberFormat="1" applyFont="1" applyFill="1" applyBorder="1" applyProtection="1">
      <alignment/>
      <protection locked="0"/>
    </xf>
    <xf numFmtId="167" fontId="11" fillId="0" borderId="0" xfId="58" applyNumberFormat="1" applyFont="1" applyFill="1" applyBorder="1" applyProtection="1">
      <alignment/>
      <protection/>
    </xf>
    <xf numFmtId="43" fontId="11" fillId="0" borderId="42" xfId="42" applyFont="1" applyBorder="1" applyAlignment="1" applyProtection="1">
      <alignment/>
      <protection/>
    </xf>
    <xf numFmtId="171" fontId="11" fillId="0" borderId="43" xfId="58" applyNumberFormat="1" applyFont="1" applyBorder="1" applyProtection="1">
      <alignment/>
      <protection/>
    </xf>
    <xf numFmtId="164" fontId="3" fillId="0" borderId="27" xfId="58" applyBorder="1">
      <alignment/>
      <protection/>
    </xf>
    <xf numFmtId="164" fontId="3" fillId="0" borderId="29" xfId="58" applyBorder="1">
      <alignment/>
      <protection/>
    </xf>
    <xf numFmtId="164" fontId="3" fillId="0" borderId="33" xfId="58" applyBorder="1">
      <alignment/>
      <protection/>
    </xf>
    <xf numFmtId="7" fontId="11" fillId="33" borderId="12" xfId="58" applyNumberFormat="1" applyFont="1" applyFill="1" applyBorder="1" applyProtection="1">
      <alignment/>
      <protection/>
    </xf>
    <xf numFmtId="171" fontId="17" fillId="0" borderId="14" xfId="58" applyNumberFormat="1" applyFont="1" applyFill="1" applyBorder="1" applyProtection="1">
      <alignment/>
      <protection locked="0"/>
    </xf>
    <xf numFmtId="9" fontId="13" fillId="0" borderId="15" xfId="58" applyNumberFormat="1" applyFont="1" applyBorder="1" applyProtection="1">
      <alignment/>
      <protection locked="0"/>
    </xf>
    <xf numFmtId="3" fontId="3" fillId="0" borderId="28" xfId="58" applyNumberFormat="1" applyBorder="1">
      <alignment/>
      <protection/>
    </xf>
    <xf numFmtId="9" fontId="13" fillId="0" borderId="33" xfId="58" applyNumberFormat="1" applyFont="1" applyBorder="1" applyProtection="1">
      <alignment/>
      <protection locked="0"/>
    </xf>
    <xf numFmtId="184" fontId="11" fillId="0" borderId="37" xfId="42" applyNumberFormat="1" applyFont="1" applyBorder="1" applyAlignment="1" applyProtection="1">
      <alignment/>
      <protection/>
    </xf>
    <xf numFmtId="164" fontId="3" fillId="33" borderId="20" xfId="58" applyFill="1" applyBorder="1" applyAlignment="1" applyProtection="1">
      <alignment wrapText="1"/>
      <protection/>
    </xf>
    <xf numFmtId="164" fontId="3" fillId="33" borderId="20" xfId="58" applyFill="1" applyBorder="1" applyAlignment="1">
      <alignment wrapText="1"/>
      <protection/>
    </xf>
    <xf numFmtId="164" fontId="3" fillId="33" borderId="20" xfId="58" applyFill="1" applyBorder="1" applyAlignment="1">
      <alignment horizontal="center" wrapText="1"/>
      <protection/>
    </xf>
    <xf numFmtId="164" fontId="3" fillId="33" borderId="0" xfId="58" applyFill="1" applyBorder="1" applyAlignment="1">
      <alignment wrapText="1"/>
      <protection/>
    </xf>
    <xf numFmtId="164" fontId="3" fillId="35" borderId="39" xfId="58" applyFill="1" applyBorder="1" applyAlignment="1">
      <alignment horizontal="center" wrapText="1"/>
      <protection/>
    </xf>
    <xf numFmtId="164" fontId="3" fillId="35" borderId="40" xfId="58" applyFill="1" applyBorder="1" applyAlignment="1">
      <alignment horizontal="center" wrapText="1"/>
      <protection/>
    </xf>
    <xf numFmtId="164" fontId="3" fillId="33" borderId="44" xfId="58" applyFill="1" applyBorder="1" applyAlignment="1">
      <alignment horizontal="center" wrapText="1"/>
      <protection/>
    </xf>
    <xf numFmtId="164" fontId="11" fillId="0" borderId="20" xfId="58" applyNumberFormat="1" applyFont="1" applyBorder="1" applyAlignment="1" applyProtection="1">
      <alignment horizontal="center"/>
      <protection/>
    </xf>
    <xf numFmtId="1" fontId="3" fillId="33" borderId="28" xfId="58" applyNumberFormat="1" applyFill="1" applyBorder="1">
      <alignment/>
      <protection/>
    </xf>
    <xf numFmtId="1" fontId="3" fillId="33" borderId="42" xfId="58" applyNumberFormat="1" applyFill="1" applyBorder="1">
      <alignment/>
      <protection/>
    </xf>
    <xf numFmtId="5" fontId="11" fillId="33" borderId="14" xfId="42" applyNumberFormat="1" applyFont="1" applyFill="1" applyBorder="1" applyAlignment="1" applyProtection="1">
      <alignment/>
      <protection/>
    </xf>
    <xf numFmtId="164" fontId="11" fillId="33" borderId="0" xfId="58" applyNumberFormat="1" applyFont="1" applyFill="1" applyBorder="1" applyAlignment="1" applyProtection="1">
      <alignment horizontal="right"/>
      <protection/>
    </xf>
    <xf numFmtId="164" fontId="3" fillId="33" borderId="0" xfId="58" applyFill="1" applyBorder="1" applyAlignment="1">
      <alignment horizontal="right"/>
      <protection/>
    </xf>
    <xf numFmtId="164" fontId="3" fillId="33" borderId="33" xfId="58" applyNumberFormat="1" applyFill="1" applyBorder="1" applyProtection="1">
      <alignment/>
      <protection/>
    </xf>
    <xf numFmtId="43" fontId="11" fillId="33" borderId="33" xfId="42" applyFont="1" applyFill="1" applyBorder="1" applyAlignment="1" applyProtection="1">
      <alignment/>
      <protection/>
    </xf>
    <xf numFmtId="43" fontId="11" fillId="33" borderId="24" xfId="42" applyFont="1" applyFill="1" applyBorder="1" applyAlignment="1" applyProtection="1">
      <alignment horizontal="center"/>
      <protection/>
    </xf>
    <xf numFmtId="43" fontId="11" fillId="33" borderId="27" xfId="42" applyFont="1" applyFill="1" applyBorder="1" applyAlignment="1" applyProtection="1">
      <alignment horizontal="center"/>
      <protection/>
    </xf>
    <xf numFmtId="43" fontId="11" fillId="33" borderId="33" xfId="42" applyFont="1" applyFill="1" applyBorder="1" applyAlignment="1" applyProtection="1">
      <alignment horizontal="center"/>
      <protection/>
    </xf>
    <xf numFmtId="164" fontId="11" fillId="0" borderId="20" xfId="58" applyNumberFormat="1" applyFont="1" applyFill="1" applyBorder="1" applyProtection="1">
      <alignment/>
      <protection/>
    </xf>
    <xf numFmtId="43" fontId="11" fillId="33" borderId="0" xfId="42" applyFont="1" applyFill="1" applyBorder="1" applyAlignment="1" applyProtection="1">
      <alignment/>
      <protection/>
    </xf>
    <xf numFmtId="43" fontId="11" fillId="35" borderId="39" xfId="42" applyFont="1" applyFill="1" applyBorder="1" applyAlignment="1" applyProtection="1">
      <alignment horizontal="center"/>
      <protection/>
    </xf>
    <xf numFmtId="43" fontId="11" fillId="33" borderId="20" xfId="42" applyFont="1" applyFill="1" applyBorder="1" applyAlignment="1" applyProtection="1">
      <alignment horizontal="center" wrapText="1"/>
      <protection/>
    </xf>
    <xf numFmtId="43" fontId="11" fillId="35" borderId="44" xfId="42" applyFont="1" applyFill="1" applyBorder="1" applyAlignment="1" applyProtection="1">
      <alignment horizontal="center"/>
      <protection/>
    </xf>
    <xf numFmtId="43" fontId="11" fillId="33" borderId="44" xfId="42" applyFont="1" applyFill="1" applyBorder="1" applyAlignment="1" applyProtection="1">
      <alignment horizontal="center" wrapText="1"/>
      <protection/>
    </xf>
    <xf numFmtId="43" fontId="11" fillId="33" borderId="24" xfId="42" applyFont="1" applyFill="1" applyBorder="1" applyAlignment="1" applyProtection="1">
      <alignment/>
      <protection/>
    </xf>
    <xf numFmtId="43" fontId="11" fillId="33" borderId="27" xfId="42" applyFont="1" applyFill="1" applyBorder="1" applyAlignment="1" applyProtection="1">
      <alignment/>
      <protection/>
    </xf>
    <xf numFmtId="37" fontId="13" fillId="33" borderId="14" xfId="42" applyNumberFormat="1" applyFont="1" applyFill="1" applyBorder="1" applyAlignment="1" applyProtection="1">
      <alignment/>
      <protection/>
    </xf>
    <xf numFmtId="3" fontId="5" fillId="33" borderId="14" xfId="58" applyNumberFormat="1" applyFont="1" applyFill="1" applyBorder="1" applyProtection="1">
      <alignment/>
      <protection/>
    </xf>
    <xf numFmtId="3" fontId="5" fillId="33" borderId="0" xfId="58" applyNumberFormat="1" applyFont="1" applyFill="1" applyBorder="1" applyProtection="1">
      <alignment/>
      <protection/>
    </xf>
    <xf numFmtId="37" fontId="13" fillId="33" borderId="31" xfId="42" applyNumberFormat="1" applyFont="1" applyFill="1" applyBorder="1" applyAlignment="1" applyProtection="1">
      <alignment/>
      <protection/>
    </xf>
    <xf numFmtId="3" fontId="5" fillId="33" borderId="31" xfId="58" applyNumberFormat="1" applyFont="1" applyFill="1" applyBorder="1" applyProtection="1">
      <alignment/>
      <protection/>
    </xf>
    <xf numFmtId="3" fontId="5" fillId="33" borderId="20" xfId="58" applyNumberFormat="1" applyFont="1" applyFill="1" applyBorder="1" applyProtection="1">
      <alignment/>
      <protection/>
    </xf>
    <xf numFmtId="164" fontId="3" fillId="33" borderId="12" xfId="58" applyNumberFormat="1" applyFill="1" applyBorder="1" applyProtection="1">
      <alignment/>
      <protection/>
    </xf>
    <xf numFmtId="164" fontId="3" fillId="33" borderId="20" xfId="58" applyNumberFormat="1" applyFill="1" applyBorder="1" applyProtection="1">
      <alignment/>
      <protection/>
    </xf>
    <xf numFmtId="164" fontId="3" fillId="35" borderId="40" xfId="58" applyNumberFormat="1" applyFill="1" applyBorder="1" applyAlignment="1" applyProtection="1">
      <alignment horizontal="center" wrapText="1"/>
      <protection/>
    </xf>
    <xf numFmtId="164" fontId="3" fillId="33" borderId="20" xfId="58" applyNumberFormat="1" applyFill="1" applyBorder="1" applyAlignment="1" applyProtection="1">
      <alignment horizontal="center" wrapText="1"/>
      <protection/>
    </xf>
    <xf numFmtId="43" fontId="11" fillId="35" borderId="42" xfId="42" applyFont="1" applyFill="1" applyBorder="1" applyAlignment="1" applyProtection="1">
      <alignment horizontal="center"/>
      <protection/>
    </xf>
    <xf numFmtId="164" fontId="3" fillId="35" borderId="37" xfId="58" applyNumberFormat="1" applyFill="1" applyBorder="1" applyAlignment="1" applyProtection="1">
      <alignment horizontal="center" wrapText="1"/>
      <protection/>
    </xf>
    <xf numFmtId="43" fontId="11" fillId="33" borderId="0" xfId="42" applyFont="1" applyFill="1" applyBorder="1" applyAlignment="1" applyProtection="1">
      <alignment horizontal="center"/>
      <protection/>
    </xf>
    <xf numFmtId="43" fontId="11" fillId="33" borderId="20" xfId="42" applyFont="1" applyFill="1" applyBorder="1" applyAlignment="1" applyProtection="1">
      <alignment horizontal="center"/>
      <protection/>
    </xf>
    <xf numFmtId="164" fontId="3" fillId="33" borderId="27" xfId="58" applyNumberFormat="1" applyFill="1" applyBorder="1" applyProtection="1">
      <alignment/>
      <protection/>
    </xf>
    <xf numFmtId="164" fontId="11" fillId="0" borderId="0" xfId="58" applyNumberFormat="1" applyFont="1" applyFill="1" applyProtection="1">
      <alignment/>
      <protection/>
    </xf>
    <xf numFmtId="164" fontId="5" fillId="33" borderId="0" xfId="58" applyNumberFormat="1" applyFont="1" applyFill="1" applyProtection="1">
      <alignment/>
      <protection locked="0"/>
    </xf>
    <xf numFmtId="164" fontId="11" fillId="0" borderId="0" xfId="58" applyFont="1" applyAlignment="1">
      <alignment horizontal="center"/>
      <protection/>
    </xf>
    <xf numFmtId="164" fontId="11" fillId="35" borderId="33" xfId="42" applyNumberFormat="1" applyFont="1" applyFill="1" applyBorder="1" applyAlignment="1" applyProtection="1">
      <alignment horizontal="center" wrapText="1"/>
      <protection/>
    </xf>
    <xf numFmtId="164" fontId="11" fillId="35" borderId="40" xfId="42" applyNumberFormat="1" applyFont="1" applyFill="1" applyBorder="1" applyAlignment="1" applyProtection="1">
      <alignment horizontal="center" wrapText="1"/>
      <protection/>
    </xf>
    <xf numFmtId="0" fontId="23" fillId="33" borderId="0" xfId="57" applyFont="1" applyFill="1">
      <alignment/>
      <protection/>
    </xf>
    <xf numFmtId="0" fontId="22" fillId="33" borderId="0" xfId="57" applyFill="1">
      <alignment/>
      <protection/>
    </xf>
    <xf numFmtId="0" fontId="22" fillId="0" borderId="0" xfId="57">
      <alignment/>
      <protection/>
    </xf>
    <xf numFmtId="49" fontId="22" fillId="33" borderId="0" xfId="57" applyNumberFormat="1" applyFont="1" applyFill="1" applyAlignment="1">
      <alignment horizontal="right"/>
      <protection/>
    </xf>
    <xf numFmtId="0" fontId="22" fillId="33" borderId="0" xfId="57" applyFill="1" applyBorder="1" applyAlignment="1">
      <alignment horizontal="center" wrapText="1"/>
      <protection/>
    </xf>
    <xf numFmtId="0" fontId="22" fillId="33" borderId="0" xfId="57" applyFill="1" applyBorder="1" applyAlignment="1">
      <alignment wrapText="1"/>
      <protection/>
    </xf>
    <xf numFmtId="0" fontId="22" fillId="33" borderId="0" xfId="57" applyFill="1" applyAlignment="1">
      <alignment wrapText="1"/>
      <protection/>
    </xf>
    <xf numFmtId="0" fontId="22" fillId="33" borderId="20" xfId="57" applyFill="1" applyBorder="1">
      <alignment/>
      <protection/>
    </xf>
    <xf numFmtId="0" fontId="22" fillId="33" borderId="20" xfId="57" applyFont="1" applyFill="1" applyBorder="1">
      <alignment/>
      <protection/>
    </xf>
    <xf numFmtId="49" fontId="22" fillId="33" borderId="20" xfId="57" applyNumberFormat="1" applyFont="1" applyFill="1" applyBorder="1" applyAlignment="1">
      <alignment horizontal="right"/>
      <protection/>
    </xf>
    <xf numFmtId="0" fontId="22" fillId="33" borderId="20" xfId="57" applyFill="1" applyBorder="1" applyAlignment="1">
      <alignment horizontal="center"/>
      <protection/>
    </xf>
    <xf numFmtId="0" fontId="22" fillId="33" borderId="0" xfId="57" applyFont="1" applyFill="1" applyAlignment="1">
      <alignment horizontal="center"/>
      <protection/>
    </xf>
    <xf numFmtId="0" fontId="22" fillId="33" borderId="0" xfId="57" applyFont="1" applyFill="1">
      <alignment/>
      <protection/>
    </xf>
    <xf numFmtId="0" fontId="22" fillId="33" borderId="0" xfId="57" applyFill="1" applyAlignment="1">
      <alignment horizontal="center"/>
      <protection/>
    </xf>
    <xf numFmtId="0" fontId="22" fillId="33" borderId="20" xfId="57" applyFont="1" applyFill="1" applyBorder="1" applyAlignment="1">
      <alignment horizontal="center"/>
      <protection/>
    </xf>
    <xf numFmtId="0" fontId="22" fillId="33" borderId="0" xfId="57" applyFill="1" applyBorder="1">
      <alignment/>
      <protection/>
    </xf>
    <xf numFmtId="0" fontId="22" fillId="33" borderId="0" xfId="57" applyFill="1" applyBorder="1" applyAlignment="1">
      <alignment horizontal="center"/>
      <protection/>
    </xf>
    <xf numFmtId="0" fontId="24" fillId="0" borderId="0" xfId="57" applyFont="1" applyFill="1" applyProtection="1">
      <alignment/>
      <protection locked="0"/>
    </xf>
    <xf numFmtId="171" fontId="24" fillId="0" borderId="0" xfId="57" applyNumberFormat="1" applyFont="1" applyFill="1" applyAlignment="1" applyProtection="1">
      <alignment horizontal="center"/>
      <protection locked="0"/>
    </xf>
    <xf numFmtId="1" fontId="24" fillId="0" borderId="0" xfId="57" applyNumberFormat="1" applyFont="1" applyFill="1" applyAlignment="1" applyProtection="1">
      <alignment horizontal="center"/>
      <protection locked="0"/>
    </xf>
    <xf numFmtId="1" fontId="22" fillId="33" borderId="0" xfId="57" applyNumberFormat="1" applyFill="1" applyAlignment="1" applyProtection="1">
      <alignment horizontal="center"/>
      <protection locked="0"/>
    </xf>
    <xf numFmtId="172" fontId="24" fillId="0" borderId="0" xfId="57" applyNumberFormat="1" applyFont="1" applyFill="1" applyAlignment="1" applyProtection="1">
      <alignment horizontal="center"/>
      <protection locked="0"/>
    </xf>
    <xf numFmtId="0" fontId="24" fillId="33" borderId="0" xfId="57" applyFont="1" applyFill="1">
      <alignment/>
      <protection/>
    </xf>
    <xf numFmtId="0" fontId="24" fillId="33" borderId="0" xfId="57" applyFont="1" applyFill="1" applyAlignment="1">
      <alignment horizontal="center"/>
      <protection/>
    </xf>
    <xf numFmtId="1" fontId="22" fillId="33" borderId="20" xfId="57" applyNumberFormat="1" applyFill="1" applyBorder="1" applyAlignment="1" applyProtection="1">
      <alignment horizontal="center"/>
      <protection locked="0"/>
    </xf>
    <xf numFmtId="172" fontId="22" fillId="33" borderId="20" xfId="57" applyNumberFormat="1" applyFill="1" applyBorder="1" applyAlignment="1" applyProtection="1">
      <alignment horizontal="center"/>
      <protection locked="0"/>
    </xf>
    <xf numFmtId="0" fontId="22" fillId="37" borderId="0" xfId="57" applyFill="1">
      <alignment/>
      <protection/>
    </xf>
    <xf numFmtId="0" fontId="22" fillId="0" borderId="0" xfId="57" applyFill="1">
      <alignment/>
      <protection/>
    </xf>
    <xf numFmtId="164" fontId="11" fillId="0" borderId="0" xfId="58" applyNumberFormat="1" applyFont="1" applyBorder="1" applyAlignment="1" applyProtection="1">
      <alignment horizontal="left"/>
      <protection/>
    </xf>
    <xf numFmtId="0" fontId="26" fillId="33" borderId="20" xfId="57" applyFont="1" applyFill="1" applyBorder="1" applyAlignment="1">
      <alignment horizontal="center"/>
      <protection/>
    </xf>
    <xf numFmtId="0" fontId="26" fillId="33" borderId="0" xfId="57" applyFont="1" applyFill="1" applyBorder="1" applyAlignment="1">
      <alignment horizontal="center"/>
      <protection/>
    </xf>
    <xf numFmtId="0" fontId="26" fillId="33" borderId="44" xfId="57" applyFont="1" applyFill="1" applyBorder="1" applyAlignment="1">
      <alignment horizontal="center"/>
      <protection/>
    </xf>
    <xf numFmtId="0" fontId="22" fillId="38" borderId="0" xfId="57" applyFill="1">
      <alignment/>
      <protection/>
    </xf>
    <xf numFmtId="164" fontId="3" fillId="38" borderId="0" xfId="58" applyFill="1" applyAlignment="1">
      <alignment/>
      <protection/>
    </xf>
    <xf numFmtId="0" fontId="22" fillId="35" borderId="0" xfId="57" applyFill="1">
      <alignment/>
      <protection/>
    </xf>
    <xf numFmtId="171" fontId="22" fillId="35" borderId="0" xfId="57" applyNumberFormat="1" applyFill="1" applyAlignment="1">
      <alignment horizontal="right"/>
      <protection/>
    </xf>
    <xf numFmtId="0" fontId="22" fillId="35" borderId="20" xfId="57" applyFill="1" applyBorder="1">
      <alignment/>
      <protection/>
    </xf>
    <xf numFmtId="171" fontId="22" fillId="35" borderId="20" xfId="57" applyNumberFormat="1" applyFill="1" applyBorder="1" applyAlignment="1">
      <alignment horizontal="right"/>
      <protection/>
    </xf>
    <xf numFmtId="0" fontId="22" fillId="38" borderId="20" xfId="57" applyFill="1" applyBorder="1">
      <alignment/>
      <protection/>
    </xf>
    <xf numFmtId="0" fontId="22" fillId="35" borderId="0" xfId="57" applyFill="1" applyAlignment="1">
      <alignment horizontal="right"/>
      <protection/>
    </xf>
    <xf numFmtId="0" fontId="22" fillId="35" borderId="20" xfId="57" applyFont="1" applyFill="1" applyBorder="1">
      <alignment/>
      <protection/>
    </xf>
    <xf numFmtId="171" fontId="22" fillId="39" borderId="20" xfId="57" applyNumberFormat="1" applyFill="1" applyBorder="1" applyAlignment="1">
      <alignment horizontal="right"/>
      <protection/>
    </xf>
    <xf numFmtId="0" fontId="22" fillId="40" borderId="0" xfId="57" applyFill="1">
      <alignment/>
      <protection/>
    </xf>
    <xf numFmtId="0" fontId="22" fillId="40" borderId="0" xfId="57" applyFill="1" applyAlignment="1">
      <alignment horizontal="right"/>
      <protection/>
    </xf>
    <xf numFmtId="0" fontId="22" fillId="40" borderId="0" xfId="57" applyFont="1" applyFill="1" applyAlignment="1">
      <alignment horizontal="left"/>
      <protection/>
    </xf>
    <xf numFmtId="171" fontId="27" fillId="39" borderId="0" xfId="57" applyNumberFormat="1" applyFont="1" applyFill="1" applyAlignment="1">
      <alignment horizontal="right"/>
      <protection/>
    </xf>
    <xf numFmtId="171" fontId="22" fillId="39" borderId="0" xfId="57" applyNumberFormat="1" applyFill="1" applyAlignment="1">
      <alignment horizontal="right"/>
      <protection/>
    </xf>
    <xf numFmtId="0" fontId="22" fillId="40" borderId="0" xfId="57" applyFill="1" applyAlignment="1">
      <alignment horizontal="center"/>
      <protection/>
    </xf>
    <xf numFmtId="0" fontId="22" fillId="0" borderId="0" xfId="57" applyAlignment="1">
      <alignment horizontal="center"/>
      <protection/>
    </xf>
    <xf numFmtId="164" fontId="28" fillId="0" borderId="0" xfId="58" applyFont="1" applyAlignment="1" applyProtection="1">
      <alignment horizontal="left"/>
      <protection/>
    </xf>
    <xf numFmtId="164" fontId="3" fillId="0" borderId="0" xfId="58" applyProtection="1">
      <alignment/>
      <protection/>
    </xf>
    <xf numFmtId="164" fontId="21" fillId="0" borderId="0" xfId="58" applyNumberFormat="1" applyFont="1" applyAlignment="1" applyProtection="1">
      <alignment horizontal="left"/>
      <protection/>
    </xf>
    <xf numFmtId="164" fontId="3" fillId="0" borderId="12" xfId="58" applyBorder="1" applyAlignment="1">
      <alignment horizontal="center"/>
      <protection/>
    </xf>
    <xf numFmtId="172" fontId="11" fillId="0" borderId="0" xfId="58" applyNumberFormat="1" applyFont="1" applyProtection="1">
      <alignment/>
      <protection/>
    </xf>
    <xf numFmtId="172" fontId="12" fillId="0" borderId="0" xfId="58" applyNumberFormat="1" applyFont="1" applyBorder="1" applyAlignment="1" applyProtection="1">
      <alignment horizontal="center"/>
      <protection/>
    </xf>
    <xf numFmtId="164" fontId="11" fillId="0" borderId="0" xfId="58" applyFont="1" applyProtection="1">
      <alignment/>
      <protection/>
    </xf>
    <xf numFmtId="172" fontId="4" fillId="0" borderId="0" xfId="58" applyNumberFormat="1" applyFont="1" applyBorder="1" applyAlignment="1">
      <alignment horizontal="center"/>
      <protection/>
    </xf>
    <xf numFmtId="164" fontId="11" fillId="0" borderId="0" xfId="58" applyNumberFormat="1" applyFont="1" applyAlignment="1" applyProtection="1">
      <alignment horizontal="right"/>
      <protection/>
    </xf>
    <xf numFmtId="172" fontId="12" fillId="0" borderId="45" xfId="58" applyNumberFormat="1" applyFont="1" applyBorder="1" applyAlignment="1" applyProtection="1">
      <alignment horizontal="center"/>
      <protection/>
    </xf>
    <xf numFmtId="172" fontId="4" fillId="0" borderId="45" xfId="58" applyNumberFormat="1" applyFont="1" applyBorder="1" applyAlignment="1">
      <alignment horizontal="center"/>
      <protection/>
    </xf>
    <xf numFmtId="164" fontId="3" fillId="0" borderId="20" xfId="58" applyBorder="1" applyProtection="1">
      <alignment/>
      <protection/>
    </xf>
    <xf numFmtId="164" fontId="3" fillId="0" borderId="20" xfId="58" applyBorder="1">
      <alignment/>
      <protection/>
    </xf>
    <xf numFmtId="164" fontId="12" fillId="0" borderId="20" xfId="58" applyNumberFormat="1" applyFont="1" applyBorder="1" applyAlignment="1" applyProtection="1">
      <alignment horizontal="center"/>
      <protection/>
    </xf>
    <xf numFmtId="164" fontId="4" fillId="0" borderId="20" xfId="58" applyFont="1" applyBorder="1" applyAlignment="1">
      <alignment horizontal="center"/>
      <protection/>
    </xf>
    <xf numFmtId="164" fontId="12" fillId="41" borderId="0" xfId="58" applyNumberFormat="1" applyFont="1" applyFill="1" applyBorder="1" applyAlignment="1" applyProtection="1">
      <alignment horizontal="right"/>
      <protection/>
    </xf>
    <xf numFmtId="164" fontId="12" fillId="42" borderId="0" xfId="58" applyNumberFormat="1" applyFont="1" applyFill="1" applyBorder="1" applyAlignment="1" applyProtection="1">
      <alignment horizontal="right"/>
      <protection/>
    </xf>
    <xf numFmtId="164" fontId="12" fillId="35" borderId="0" xfId="58" applyNumberFormat="1" applyFont="1" applyFill="1" applyBorder="1" applyAlignment="1" applyProtection="1">
      <alignment horizontal="right"/>
      <protection/>
    </xf>
    <xf numFmtId="164" fontId="12" fillId="41" borderId="0" xfId="58" applyNumberFormat="1" applyFont="1" applyFill="1" applyBorder="1" applyAlignment="1" applyProtection="1">
      <alignment horizontal="center"/>
      <protection/>
    </xf>
    <xf numFmtId="164" fontId="11" fillId="42" borderId="0" xfId="58" applyFont="1" applyFill="1" applyProtection="1">
      <alignment/>
      <protection/>
    </xf>
    <xf numFmtId="164" fontId="3" fillId="42" borderId="0" xfId="58" applyFill="1" applyProtection="1">
      <alignment/>
      <protection/>
    </xf>
    <xf numFmtId="164" fontId="3" fillId="42" borderId="0" xfId="58" applyFill="1">
      <alignment/>
      <protection/>
    </xf>
    <xf numFmtId="164" fontId="3" fillId="35" borderId="0" xfId="58" applyFill="1">
      <alignment/>
      <protection/>
    </xf>
    <xf numFmtId="171" fontId="11" fillId="41" borderId="0" xfId="58" applyNumberFormat="1" applyFont="1" applyFill="1" applyProtection="1">
      <alignment/>
      <protection/>
    </xf>
    <xf numFmtId="171" fontId="11" fillId="42" borderId="0" xfId="58" applyNumberFormat="1" applyFont="1" applyFill="1" applyProtection="1">
      <alignment/>
      <protection/>
    </xf>
    <xf numFmtId="171" fontId="3" fillId="42" borderId="0" xfId="58" applyNumberFormat="1" applyFill="1" applyProtection="1">
      <alignment/>
      <protection/>
    </xf>
    <xf numFmtId="171" fontId="3" fillId="42" borderId="0" xfId="58" applyNumberFormat="1" applyFill="1">
      <alignment/>
      <protection/>
    </xf>
    <xf numFmtId="171" fontId="3" fillId="35" borderId="0" xfId="58" applyNumberFormat="1" applyFill="1">
      <alignment/>
      <protection/>
    </xf>
    <xf numFmtId="171" fontId="11" fillId="41" borderId="12" xfId="58" applyNumberFormat="1" applyFont="1" applyFill="1" applyBorder="1" applyProtection="1">
      <alignment/>
      <protection/>
    </xf>
    <xf numFmtId="171" fontId="3" fillId="42" borderId="12" xfId="58" applyNumberFormat="1" applyFill="1" applyBorder="1">
      <alignment/>
      <protection/>
    </xf>
    <xf numFmtId="171" fontId="3" fillId="35" borderId="0" xfId="58" applyNumberFormat="1" applyFill="1" applyBorder="1">
      <alignment/>
      <protection/>
    </xf>
    <xf numFmtId="171" fontId="3" fillId="35" borderId="12" xfId="58" applyNumberFormat="1" applyFill="1" applyBorder="1">
      <alignment/>
      <protection/>
    </xf>
    <xf numFmtId="171" fontId="11" fillId="41" borderId="20" xfId="58" applyNumberFormat="1" applyFont="1" applyFill="1" applyBorder="1" applyProtection="1">
      <alignment/>
      <protection/>
    </xf>
    <xf numFmtId="172" fontId="11" fillId="41" borderId="20" xfId="58" applyNumberFormat="1" applyFont="1" applyFill="1" applyBorder="1" applyProtection="1">
      <alignment/>
      <protection/>
    </xf>
    <xf numFmtId="171" fontId="11" fillId="42" borderId="20" xfId="58" applyNumberFormat="1" applyFont="1" applyFill="1" applyBorder="1" applyProtection="1">
      <alignment/>
      <protection/>
    </xf>
    <xf numFmtId="171" fontId="3" fillId="42" borderId="20" xfId="58" applyNumberFormat="1" applyFill="1" applyBorder="1" applyProtection="1">
      <alignment/>
      <protection/>
    </xf>
    <xf numFmtId="172" fontId="3" fillId="42" borderId="20" xfId="58" applyNumberFormat="1" applyFill="1" applyBorder="1">
      <alignment/>
      <protection/>
    </xf>
    <xf numFmtId="171" fontId="3" fillId="35" borderId="20" xfId="58" applyNumberFormat="1" applyFill="1" applyBorder="1">
      <alignment/>
      <protection/>
    </xf>
    <xf numFmtId="9" fontId="3" fillId="35" borderId="20" xfId="58" applyNumberFormat="1" applyFill="1" applyBorder="1">
      <alignment/>
      <protection/>
    </xf>
    <xf numFmtId="171" fontId="11" fillId="0" borderId="0" xfId="58" applyNumberFormat="1" applyFont="1" applyProtection="1">
      <alignment/>
      <protection/>
    </xf>
    <xf numFmtId="171" fontId="3" fillId="0" borderId="0" xfId="58" applyNumberFormat="1" applyProtection="1">
      <alignment/>
      <protection/>
    </xf>
    <xf numFmtId="171" fontId="3" fillId="0" borderId="0" xfId="58" applyNumberFormat="1">
      <alignment/>
      <protection/>
    </xf>
    <xf numFmtId="164" fontId="12" fillId="0" borderId="0" xfId="58" applyNumberFormat="1" applyFont="1" applyFill="1" applyProtection="1">
      <alignment/>
      <protection/>
    </xf>
    <xf numFmtId="44" fontId="12" fillId="0" borderId="0" xfId="44" applyFont="1" applyFill="1" applyAlignment="1" applyProtection="1">
      <alignment/>
      <protection/>
    </xf>
    <xf numFmtId="164" fontId="11" fillId="0" borderId="0" xfId="58" applyFont="1" applyFill="1" applyProtection="1">
      <alignment/>
      <protection/>
    </xf>
    <xf numFmtId="164" fontId="11" fillId="0" borderId="0" xfId="58" applyNumberFormat="1" applyFont="1" applyFill="1" applyAlignment="1" applyProtection="1">
      <alignment horizontal="left"/>
      <protection/>
    </xf>
    <xf numFmtId="164" fontId="12" fillId="41" borderId="46" xfId="58" applyNumberFormat="1" applyFont="1" applyFill="1" applyBorder="1" applyAlignment="1" applyProtection="1">
      <alignment horizontal="center"/>
      <protection/>
    </xf>
    <xf numFmtId="164" fontId="12" fillId="42" borderId="47" xfId="58" applyNumberFormat="1" applyFont="1" applyFill="1" applyBorder="1" applyAlignment="1" applyProtection="1">
      <alignment horizontal="center"/>
      <protection/>
    </xf>
    <xf numFmtId="164" fontId="4" fillId="35" borderId="12" xfId="58" applyFont="1" applyFill="1" applyBorder="1" applyAlignment="1">
      <alignment horizontal="center"/>
      <protection/>
    </xf>
    <xf numFmtId="164" fontId="3" fillId="0" borderId="0" xfId="58" applyAlignment="1" applyProtection="1">
      <alignment horizontal="right"/>
      <protection/>
    </xf>
    <xf numFmtId="164" fontId="3" fillId="0" borderId="0" xfId="58" applyAlignment="1">
      <alignment horizontal="right"/>
      <protection/>
    </xf>
    <xf numFmtId="5" fontId="11" fillId="39" borderId="0" xfId="58" applyNumberFormat="1" applyFont="1" applyFill="1" applyAlignment="1" applyProtection="1">
      <alignment horizontal="right"/>
      <protection/>
    </xf>
    <xf numFmtId="171" fontId="3" fillId="39" borderId="0" xfId="58" applyNumberFormat="1" applyFill="1" applyAlignment="1">
      <alignment horizontal="right"/>
      <protection/>
    </xf>
    <xf numFmtId="5" fontId="11" fillId="39" borderId="0" xfId="58" applyNumberFormat="1" applyFont="1" applyFill="1" applyAlignment="1" applyProtection="1" quotePrefix="1">
      <alignment horizontal="right"/>
      <protection/>
    </xf>
    <xf numFmtId="171" fontId="11" fillId="39" borderId="0" xfId="58" applyNumberFormat="1" applyFont="1" applyFill="1" applyAlignment="1" applyProtection="1">
      <alignment horizontal="right"/>
      <protection/>
    </xf>
    <xf numFmtId="5" fontId="11" fillId="0" borderId="0" xfId="58" applyNumberFormat="1" applyFont="1" applyProtection="1">
      <alignment/>
      <protection/>
    </xf>
    <xf numFmtId="164" fontId="12" fillId="0" borderId="0" xfId="58" applyNumberFormat="1" applyFont="1" applyAlignment="1" applyProtection="1">
      <alignment horizontal="left"/>
      <protection/>
    </xf>
    <xf numFmtId="8" fontId="11" fillId="0" borderId="0" xfId="58" applyNumberFormat="1" applyFont="1" applyProtection="1">
      <alignment/>
      <protection/>
    </xf>
    <xf numFmtId="189" fontId="11" fillId="0" borderId="0" xfId="58" applyNumberFormat="1" applyFont="1" applyProtection="1">
      <alignment/>
      <protection/>
    </xf>
    <xf numFmtId="164" fontId="11" fillId="39" borderId="0" xfId="58" applyNumberFormat="1" applyFont="1" applyFill="1" applyAlignment="1" applyProtection="1">
      <alignment horizontal="right"/>
      <protection/>
    </xf>
    <xf numFmtId="172" fontId="11" fillId="39" borderId="0" xfId="58" applyNumberFormat="1" applyFont="1" applyFill="1" applyProtection="1">
      <alignment/>
      <protection/>
    </xf>
    <xf numFmtId="172" fontId="3" fillId="39" borderId="0" xfId="58" applyNumberFormat="1" applyFill="1" applyProtection="1">
      <alignment/>
      <protection/>
    </xf>
    <xf numFmtId="172" fontId="3" fillId="39" borderId="0" xfId="58" applyNumberFormat="1" applyFill="1">
      <alignment/>
      <protection/>
    </xf>
    <xf numFmtId="1" fontId="11" fillId="39" borderId="0" xfId="58" applyNumberFormat="1" applyFont="1" applyFill="1" applyProtection="1">
      <alignment/>
      <protection/>
    </xf>
    <xf numFmtId="1" fontId="3" fillId="39" borderId="0" xfId="58" applyNumberFormat="1" applyFill="1" applyProtection="1">
      <alignment/>
      <protection/>
    </xf>
    <xf numFmtId="1" fontId="3" fillId="39" borderId="0" xfId="58" applyNumberFormat="1" applyFill="1">
      <alignment/>
      <protection/>
    </xf>
    <xf numFmtId="171" fontId="11" fillId="39" borderId="0" xfId="58" applyNumberFormat="1" applyFont="1" applyFill="1" applyProtection="1">
      <alignment/>
      <protection/>
    </xf>
    <xf numFmtId="171" fontId="3" fillId="39" borderId="0" xfId="58" applyNumberFormat="1" applyFill="1" applyProtection="1">
      <alignment/>
      <protection/>
    </xf>
    <xf numFmtId="164" fontId="3" fillId="39" borderId="0" xfId="58" applyFill="1" applyAlignment="1">
      <alignment horizontal="right"/>
      <protection/>
    </xf>
    <xf numFmtId="171" fontId="3" fillId="39" borderId="0" xfId="58" applyNumberFormat="1" applyFill="1">
      <alignment/>
      <protection/>
    </xf>
    <xf numFmtId="164" fontId="20" fillId="0" borderId="0" xfId="58" applyFont="1">
      <alignment/>
      <protection/>
    </xf>
    <xf numFmtId="164" fontId="29" fillId="0" borderId="0" xfId="58" applyFont="1">
      <alignment/>
      <protection/>
    </xf>
    <xf numFmtId="9" fontId="3" fillId="39" borderId="0" xfId="58" applyNumberFormat="1" applyFill="1">
      <alignment/>
      <protection/>
    </xf>
    <xf numFmtId="3" fontId="3" fillId="39" borderId="0" xfId="58" applyNumberFormat="1" applyFill="1">
      <alignment/>
      <protection/>
    </xf>
    <xf numFmtId="164" fontId="11" fillId="39" borderId="0" xfId="58" applyNumberFormat="1" applyFont="1" applyFill="1" applyAlignment="1" applyProtection="1">
      <alignment/>
      <protection/>
    </xf>
    <xf numFmtId="164" fontId="3" fillId="39" borderId="0" xfId="58" applyFill="1" applyAlignment="1">
      <alignment/>
      <protection/>
    </xf>
    <xf numFmtId="164" fontId="3" fillId="0" borderId="0" xfId="58" applyFont="1">
      <alignment/>
      <protection/>
    </xf>
    <xf numFmtId="164" fontId="3" fillId="0" borderId="0" xfId="58" applyAlignment="1" applyProtection="1" quotePrefix="1">
      <alignment horizontal="left"/>
      <protection/>
    </xf>
    <xf numFmtId="164" fontId="28" fillId="0" borderId="0" xfId="58" applyFont="1" applyProtection="1">
      <alignment/>
      <protection/>
    </xf>
    <xf numFmtId="164" fontId="3" fillId="42" borderId="0" xfId="58" applyNumberFormat="1" applyFill="1" applyProtection="1">
      <alignment/>
      <protection/>
    </xf>
    <xf numFmtId="164" fontId="30" fillId="0" borderId="12" xfId="58" applyNumberFormat="1" applyFont="1" applyBorder="1" applyAlignment="1" applyProtection="1">
      <alignment horizontal="center"/>
      <protection locked="0"/>
    </xf>
    <xf numFmtId="164" fontId="31" fillId="0" borderId="0" xfId="58" applyNumberFormat="1" applyFont="1" applyBorder="1" applyAlignment="1" applyProtection="1">
      <alignment horizontal="center"/>
      <protection/>
    </xf>
    <xf numFmtId="164" fontId="3" fillId="0" borderId="0" xfId="58" applyNumberFormat="1" applyProtection="1">
      <alignment/>
      <protection locked="0"/>
    </xf>
    <xf numFmtId="164" fontId="11" fillId="0" borderId="20" xfId="58" applyFont="1" applyBorder="1" applyProtection="1">
      <alignment/>
      <protection/>
    </xf>
    <xf numFmtId="164" fontId="11" fillId="0" borderId="48" xfId="58" applyFont="1" applyBorder="1" applyProtection="1">
      <alignment/>
      <protection/>
    </xf>
    <xf numFmtId="164" fontId="11" fillId="0" borderId="49" xfId="58" applyNumberFormat="1" applyFont="1" applyBorder="1" applyProtection="1">
      <alignment/>
      <protection/>
    </xf>
    <xf numFmtId="164" fontId="11" fillId="0" borderId="37" xfId="58" applyFont="1" applyBorder="1" applyAlignment="1" applyProtection="1">
      <alignment horizontal="center"/>
      <protection/>
    </xf>
    <xf numFmtId="178" fontId="11" fillId="0" borderId="50" xfId="58" applyNumberFormat="1" applyFont="1" applyBorder="1" applyAlignment="1" applyProtection="1">
      <alignment horizontal="center"/>
      <protection/>
    </xf>
    <xf numFmtId="178" fontId="11" fillId="0" borderId="22" xfId="58" applyNumberFormat="1" applyFont="1" applyBorder="1" applyAlignment="1" applyProtection="1">
      <alignment horizontal="center"/>
      <protection/>
    </xf>
    <xf numFmtId="178" fontId="11" fillId="0" borderId="22" xfId="58" applyNumberFormat="1" applyFont="1" applyFill="1" applyBorder="1" applyAlignment="1" applyProtection="1">
      <alignment horizontal="center"/>
      <protection/>
    </xf>
    <xf numFmtId="7" fontId="11" fillId="0" borderId="28" xfId="58" applyNumberFormat="1" applyFont="1" applyBorder="1" applyAlignment="1" applyProtection="1">
      <alignment horizontal="center"/>
      <protection/>
    </xf>
    <xf numFmtId="7" fontId="11" fillId="0" borderId="0" xfId="58" applyNumberFormat="1" applyFont="1" applyBorder="1" applyAlignment="1" applyProtection="1">
      <alignment horizontal="center"/>
      <protection/>
    </xf>
    <xf numFmtId="7" fontId="11" fillId="0" borderId="0" xfId="58" applyNumberFormat="1" applyFont="1" applyFill="1" applyBorder="1" applyAlignment="1" applyProtection="1">
      <alignment horizontal="center"/>
      <protection/>
    </xf>
    <xf numFmtId="171" fontId="3" fillId="0" borderId="28" xfId="58" applyNumberFormat="1" applyBorder="1" applyAlignment="1">
      <alignment horizontal="center"/>
      <protection/>
    </xf>
    <xf numFmtId="171" fontId="3" fillId="0" borderId="0" xfId="58" applyNumberFormat="1" applyBorder="1" applyAlignment="1">
      <alignment horizontal="center"/>
      <protection/>
    </xf>
    <xf numFmtId="171" fontId="11" fillId="0" borderId="51" xfId="58" applyNumberFormat="1" applyFont="1" applyBorder="1" applyAlignment="1" applyProtection="1">
      <alignment horizontal="center"/>
      <protection/>
    </xf>
    <xf numFmtId="172" fontId="3" fillId="0" borderId="28" xfId="58" applyNumberFormat="1" applyBorder="1" applyAlignment="1">
      <alignment horizontal="center"/>
      <protection/>
    </xf>
    <xf numFmtId="172" fontId="3" fillId="0" borderId="0" xfId="58" applyNumberFormat="1" applyBorder="1" applyAlignment="1">
      <alignment horizontal="center"/>
      <protection/>
    </xf>
    <xf numFmtId="171" fontId="3" fillId="0" borderId="42" xfId="58" applyNumberFormat="1" applyBorder="1" applyAlignment="1">
      <alignment horizontal="center"/>
      <protection/>
    </xf>
    <xf numFmtId="171" fontId="3" fillId="0" borderId="20" xfId="58" applyNumberFormat="1" applyBorder="1" applyAlignment="1">
      <alignment horizontal="center"/>
      <protection/>
    </xf>
    <xf numFmtId="164" fontId="12" fillId="43" borderId="0" xfId="58" applyFont="1" applyFill="1" applyBorder="1" applyAlignment="1" applyProtection="1">
      <alignment horizontal="center"/>
      <protection/>
    </xf>
    <xf numFmtId="164" fontId="11" fillId="0" borderId="39" xfId="58" applyFont="1" applyFill="1" applyBorder="1" applyAlignment="1" applyProtection="1">
      <alignment horizontal="center"/>
      <protection/>
    </xf>
    <xf numFmtId="164" fontId="11" fillId="0" borderId="44" xfId="58" applyFont="1" applyFill="1" applyBorder="1" applyAlignment="1" applyProtection="1">
      <alignment horizontal="center"/>
      <protection/>
    </xf>
    <xf numFmtId="164" fontId="12" fillId="43" borderId="20" xfId="58" applyFont="1" applyFill="1" applyBorder="1" applyAlignment="1" applyProtection="1">
      <alignment horizontal="center"/>
      <protection/>
    </xf>
    <xf numFmtId="172" fontId="13" fillId="0" borderId="42" xfId="61" applyNumberFormat="1" applyFont="1" applyBorder="1" applyAlignment="1" applyProtection="1">
      <alignment horizontal="center"/>
      <protection locked="0"/>
    </xf>
    <xf numFmtId="172" fontId="13" fillId="0" borderId="20" xfId="61" applyNumberFormat="1" applyFont="1" applyBorder="1" applyAlignment="1" applyProtection="1">
      <alignment horizontal="center"/>
      <protection locked="0"/>
    </xf>
    <xf numFmtId="172" fontId="13" fillId="0" borderId="44" xfId="61" applyNumberFormat="1" applyFont="1" applyBorder="1" applyAlignment="1" applyProtection="1" quotePrefix="1">
      <alignment horizontal="center"/>
      <protection locked="0"/>
    </xf>
    <xf numFmtId="164" fontId="12" fillId="0" borderId="0" xfId="58" applyFont="1" applyFill="1" applyBorder="1" applyAlignment="1" applyProtection="1">
      <alignment horizontal="center"/>
      <protection/>
    </xf>
    <xf numFmtId="172" fontId="13" fillId="0" borderId="0" xfId="61" applyNumberFormat="1" applyFont="1" applyBorder="1" applyAlignment="1" applyProtection="1">
      <alignment horizontal="center"/>
      <protection locked="0"/>
    </xf>
    <xf numFmtId="172" fontId="13" fillId="0" borderId="0" xfId="61" applyNumberFormat="1" applyFont="1" applyBorder="1" applyAlignment="1" applyProtection="1" quotePrefix="1">
      <alignment horizontal="center"/>
      <protection locked="0"/>
    </xf>
    <xf numFmtId="164" fontId="11" fillId="0" borderId="0" xfId="58" applyFont="1" applyAlignment="1" applyProtection="1">
      <alignment horizontal="left"/>
      <protection/>
    </xf>
    <xf numFmtId="171" fontId="11" fillId="0" borderId="0" xfId="58" applyNumberFormat="1" applyFont="1" applyAlignment="1" applyProtection="1">
      <alignment horizontal="center"/>
      <protection/>
    </xf>
    <xf numFmtId="164" fontId="12" fillId="0" borderId="0" xfId="58" applyFont="1" applyProtection="1">
      <alignment/>
      <protection/>
    </xf>
    <xf numFmtId="171" fontId="12" fillId="0" borderId="0" xfId="44" applyNumberFormat="1" applyFont="1" applyFill="1" applyAlignment="1" applyProtection="1">
      <alignment/>
      <protection/>
    </xf>
    <xf numFmtId="164" fontId="11" fillId="0" borderId="0" xfId="58" applyFont="1" applyAlignment="1" applyProtection="1">
      <alignment horizontal="right"/>
      <protection/>
    </xf>
    <xf numFmtId="164" fontId="11" fillId="0" borderId="0" xfId="58" applyFont="1" applyAlignment="1" applyProtection="1">
      <alignment horizontal="center"/>
      <protection/>
    </xf>
    <xf numFmtId="7" fontId="11" fillId="0" borderId="0" xfId="58" applyNumberFormat="1" applyFont="1" applyFill="1" applyAlignment="1" applyProtection="1">
      <alignment horizontal="center"/>
      <protection/>
    </xf>
    <xf numFmtId="164" fontId="11" fillId="0" borderId="0" xfId="58" applyFont="1" applyAlignment="1" applyProtection="1" quotePrefix="1">
      <alignment horizontal="left"/>
      <protection/>
    </xf>
    <xf numFmtId="164" fontId="11" fillId="0" borderId="0" xfId="58" applyFont="1" applyAlignment="1" applyProtection="1" quotePrefix="1">
      <alignment horizontal="center"/>
      <protection/>
    </xf>
    <xf numFmtId="164" fontId="11" fillId="0" borderId="40" xfId="58" applyNumberFormat="1" applyFont="1" applyBorder="1" applyAlignment="1" applyProtection="1">
      <alignment horizontal="left"/>
      <protection/>
    </xf>
    <xf numFmtId="176" fontId="13" fillId="0" borderId="39" xfId="58" applyNumberFormat="1" applyFont="1" applyBorder="1" applyAlignment="1" applyProtection="1">
      <alignment horizontal="center"/>
      <protection locked="0"/>
    </xf>
    <xf numFmtId="176" fontId="13" fillId="0" borderId="44" xfId="58" applyNumberFormat="1" applyFont="1" applyBorder="1" applyAlignment="1" applyProtection="1">
      <alignment horizontal="center"/>
      <protection locked="0"/>
    </xf>
    <xf numFmtId="176" fontId="13" fillId="0" borderId="44" xfId="58" applyNumberFormat="1" applyFont="1" applyFill="1" applyBorder="1" applyAlignment="1" applyProtection="1">
      <alignment horizontal="center"/>
      <protection locked="0"/>
    </xf>
    <xf numFmtId="176" fontId="13" fillId="0" borderId="40" xfId="58" applyNumberFormat="1" applyFont="1" applyBorder="1" applyAlignment="1" applyProtection="1">
      <alignment horizontal="center"/>
      <protection locked="0"/>
    </xf>
    <xf numFmtId="2" fontId="11" fillId="0" borderId="0" xfId="58" applyNumberFormat="1" applyFont="1" applyAlignment="1" applyProtection="1">
      <alignment horizontal="center"/>
      <protection/>
    </xf>
    <xf numFmtId="164" fontId="11" fillId="0" borderId="0" xfId="58" applyFont="1" applyAlignment="1" applyProtection="1">
      <alignment horizontal="centerContinuous"/>
      <protection/>
    </xf>
    <xf numFmtId="10" fontId="13" fillId="0" borderId="12" xfId="61" applyNumberFormat="1" applyFont="1" applyBorder="1" applyAlignment="1" applyProtection="1">
      <alignment/>
      <protection locked="0"/>
    </xf>
    <xf numFmtId="164" fontId="12" fillId="0" borderId="49" xfId="58" applyFont="1" applyBorder="1" applyAlignment="1" applyProtection="1" quotePrefix="1">
      <alignment horizontal="center"/>
      <protection/>
    </xf>
    <xf numFmtId="176" fontId="11" fillId="0" borderId="50" xfId="58" applyNumberFormat="1" applyFont="1" applyBorder="1" applyAlignment="1" applyProtection="1">
      <alignment horizontal="center"/>
      <protection/>
    </xf>
    <xf numFmtId="176" fontId="11" fillId="0" borderId="0" xfId="58" applyNumberFormat="1" applyFont="1" applyAlignment="1" applyProtection="1">
      <alignment horizontal="center"/>
      <protection/>
    </xf>
    <xf numFmtId="171" fontId="11" fillId="0" borderId="28" xfId="58" applyNumberFormat="1" applyFont="1" applyBorder="1" applyAlignment="1" applyProtection="1">
      <alignment horizontal="center"/>
      <protection/>
    </xf>
    <xf numFmtId="176" fontId="11" fillId="0" borderId="28" xfId="58" applyNumberFormat="1" applyFont="1" applyBorder="1" applyAlignment="1" applyProtection="1">
      <alignment horizontal="center"/>
      <protection/>
    </xf>
    <xf numFmtId="164" fontId="12" fillId="39" borderId="44" xfId="58" applyFont="1" applyFill="1" applyBorder="1" applyProtection="1">
      <alignment/>
      <protection/>
    </xf>
    <xf numFmtId="176" fontId="11" fillId="39" borderId="39" xfId="58" applyNumberFormat="1" applyFont="1" applyFill="1" applyBorder="1" applyAlignment="1" applyProtection="1">
      <alignment horizontal="center"/>
      <protection/>
    </xf>
    <xf numFmtId="176" fontId="11" fillId="39" borderId="44" xfId="58" applyNumberFormat="1" applyFont="1" applyFill="1" applyBorder="1" applyAlignment="1" applyProtection="1">
      <alignment horizontal="center"/>
      <protection/>
    </xf>
    <xf numFmtId="171" fontId="11" fillId="39" borderId="39" xfId="58" applyNumberFormat="1" applyFont="1" applyFill="1" applyBorder="1" applyAlignment="1" applyProtection="1">
      <alignment horizontal="center"/>
      <protection/>
    </xf>
    <xf numFmtId="164" fontId="11" fillId="0" borderId="37" xfId="58" applyFont="1" applyBorder="1" applyAlignment="1" applyProtection="1" quotePrefix="1">
      <alignment horizontal="left"/>
      <protection/>
    </xf>
    <xf numFmtId="176" fontId="11" fillId="0" borderId="42" xfId="58" applyNumberFormat="1" applyFont="1" applyBorder="1" applyAlignment="1" applyProtection="1">
      <alignment horizontal="center"/>
      <protection/>
    </xf>
    <xf numFmtId="176" fontId="11" fillId="0" borderId="20" xfId="58" applyNumberFormat="1" applyFont="1" applyBorder="1" applyAlignment="1" applyProtection="1">
      <alignment horizontal="center"/>
      <protection/>
    </xf>
    <xf numFmtId="171" fontId="11" fillId="0" borderId="42" xfId="58" applyNumberFormat="1" applyFont="1" applyBorder="1" applyAlignment="1" applyProtection="1">
      <alignment horizontal="center"/>
      <protection/>
    </xf>
    <xf numFmtId="164" fontId="11" fillId="0" borderId="28" xfId="58" applyFont="1" applyBorder="1" applyProtection="1">
      <alignment/>
      <protection/>
    </xf>
    <xf numFmtId="164" fontId="11" fillId="0" borderId="44" xfId="58" applyFont="1" applyBorder="1" applyProtection="1">
      <alignment/>
      <protection/>
    </xf>
    <xf numFmtId="173" fontId="13" fillId="0" borderId="39" xfId="58" applyNumberFormat="1" applyFont="1" applyBorder="1" applyAlignment="1" applyProtection="1">
      <alignment horizontal="center"/>
      <protection locked="0"/>
    </xf>
    <xf numFmtId="173" fontId="13" fillId="0" borderId="44" xfId="58" applyNumberFormat="1" applyFont="1" applyBorder="1" applyAlignment="1" applyProtection="1">
      <alignment horizontal="center"/>
      <protection locked="0"/>
    </xf>
    <xf numFmtId="173" fontId="13" fillId="37" borderId="44" xfId="58" applyNumberFormat="1" applyFont="1" applyFill="1" applyBorder="1" applyAlignment="1" applyProtection="1" quotePrefix="1">
      <alignment horizontal="center"/>
      <protection locked="0"/>
    </xf>
    <xf numFmtId="164" fontId="3" fillId="0" borderId="28" xfId="58" applyBorder="1" applyProtection="1">
      <alignment/>
      <protection/>
    </xf>
    <xf numFmtId="173" fontId="11" fillId="0" borderId="50" xfId="58" applyNumberFormat="1" applyFont="1" applyBorder="1" applyAlignment="1" applyProtection="1">
      <alignment horizontal="center"/>
      <protection/>
    </xf>
    <xf numFmtId="173" fontId="11" fillId="0" borderId="22" xfId="58" applyNumberFormat="1" applyFont="1" applyBorder="1" applyAlignment="1" applyProtection="1">
      <alignment horizontal="center"/>
      <protection/>
    </xf>
    <xf numFmtId="171" fontId="11" fillId="37" borderId="0" xfId="58" applyNumberFormat="1" applyFont="1" applyFill="1" applyBorder="1" applyAlignment="1" applyProtection="1">
      <alignment horizontal="center"/>
      <protection/>
    </xf>
    <xf numFmtId="173" fontId="11" fillId="0" borderId="28" xfId="58" applyNumberFormat="1" applyFont="1" applyBorder="1" applyAlignment="1" applyProtection="1">
      <alignment horizontal="center"/>
      <protection/>
    </xf>
    <xf numFmtId="173" fontId="11" fillId="0" borderId="0" xfId="58" applyNumberFormat="1" applyFont="1" applyBorder="1" applyAlignment="1" applyProtection="1">
      <alignment horizontal="center"/>
      <protection/>
    </xf>
    <xf numFmtId="173" fontId="12" fillId="39" borderId="39" xfId="58" applyNumberFormat="1" applyFont="1" applyFill="1" applyBorder="1" applyAlignment="1" applyProtection="1">
      <alignment horizontal="center"/>
      <protection/>
    </xf>
    <xf numFmtId="173" fontId="12" fillId="39" borderId="44" xfId="58" applyNumberFormat="1" applyFont="1" applyFill="1" applyBorder="1" applyAlignment="1" applyProtection="1">
      <alignment horizontal="center"/>
      <protection/>
    </xf>
    <xf numFmtId="173" fontId="12" fillId="39" borderId="44" xfId="58" applyNumberFormat="1" applyFont="1" applyFill="1" applyBorder="1" applyAlignment="1" applyProtection="1" quotePrefix="1">
      <alignment horizontal="center"/>
      <protection/>
    </xf>
    <xf numFmtId="164" fontId="11" fillId="0" borderId="20" xfId="58" applyFont="1" applyBorder="1" applyAlignment="1" applyProtection="1" quotePrefix="1">
      <alignment horizontal="left"/>
      <protection/>
    </xf>
    <xf numFmtId="173" fontId="11" fillId="0" borderId="42" xfId="58" applyNumberFormat="1" applyFont="1" applyBorder="1" applyAlignment="1" applyProtection="1">
      <alignment horizontal="center"/>
      <protection/>
    </xf>
    <xf numFmtId="173" fontId="11" fillId="0" borderId="20" xfId="58" applyNumberFormat="1" applyFont="1" applyBorder="1" applyAlignment="1" applyProtection="1">
      <alignment horizontal="center"/>
      <protection/>
    </xf>
    <xf numFmtId="164" fontId="11" fillId="0" borderId="48" xfId="58" applyNumberFormat="1" applyFont="1" applyBorder="1" applyAlignment="1" applyProtection="1">
      <alignment horizontal="left"/>
      <protection/>
    </xf>
    <xf numFmtId="174" fontId="11" fillId="0" borderId="0" xfId="58" applyNumberFormat="1" applyFont="1" applyAlignment="1" applyProtection="1">
      <alignment horizontal="center"/>
      <protection/>
    </xf>
    <xf numFmtId="164" fontId="3" fillId="0" borderId="0" xfId="58" applyAlignment="1" applyProtection="1">
      <alignment horizontal="center"/>
      <protection/>
    </xf>
    <xf numFmtId="6" fontId="12" fillId="0" borderId="0" xfId="58" applyNumberFormat="1" applyFont="1" applyFill="1" applyProtection="1">
      <alignment/>
      <protection/>
    </xf>
    <xf numFmtId="164" fontId="3" fillId="0" borderId="0" xfId="58" applyFill="1">
      <alignment/>
      <protection/>
    </xf>
    <xf numFmtId="171" fontId="3" fillId="0" borderId="0" xfId="58" applyNumberFormat="1" applyFill="1">
      <alignment/>
      <protection/>
    </xf>
    <xf numFmtId="164" fontId="3" fillId="0" borderId="0" xfId="58" applyFill="1" applyAlignment="1">
      <alignment horizontal="right"/>
      <protection/>
    </xf>
    <xf numFmtId="171" fontId="11" fillId="0" borderId="0" xfId="58" applyNumberFormat="1" applyFont="1" applyFill="1" applyAlignment="1" applyProtection="1">
      <alignment horizontal="center"/>
      <protection/>
    </xf>
    <xf numFmtId="164" fontId="3" fillId="0" borderId="0" xfId="58" applyFill="1" applyProtection="1">
      <alignment/>
      <protection/>
    </xf>
    <xf numFmtId="164" fontId="11" fillId="0" borderId="0" xfId="58" applyFont="1" applyFill="1" applyAlignment="1" applyProtection="1">
      <alignment horizontal="right"/>
      <protection/>
    </xf>
    <xf numFmtId="171" fontId="12" fillId="0" borderId="0" xfId="58" applyNumberFormat="1" applyFont="1" applyFill="1" applyAlignment="1" applyProtection="1">
      <alignment horizontal="center"/>
      <protection/>
    </xf>
    <xf numFmtId="164" fontId="11" fillId="0" borderId="0" xfId="58" applyNumberFormat="1" applyFont="1" applyFill="1" applyBorder="1" applyProtection="1">
      <alignment/>
      <protection/>
    </xf>
    <xf numFmtId="171" fontId="12" fillId="0" borderId="0" xfId="58" applyNumberFormat="1" applyFont="1" applyFill="1" applyProtection="1">
      <alignment/>
      <protection/>
    </xf>
    <xf numFmtId="164" fontId="11" fillId="0" borderId="0" xfId="58" applyFont="1" applyBorder="1" applyProtection="1">
      <alignment/>
      <protection/>
    </xf>
    <xf numFmtId="164" fontId="3" fillId="0" borderId="0" xfId="58" applyNumberFormat="1" applyFill="1" applyProtection="1">
      <alignment/>
      <protection/>
    </xf>
    <xf numFmtId="164" fontId="11" fillId="0" borderId="0" xfId="58" applyNumberFormat="1" applyFont="1" applyFill="1" applyAlignment="1" applyProtection="1" quotePrefix="1">
      <alignment horizontal="left"/>
      <protection/>
    </xf>
    <xf numFmtId="164" fontId="11" fillId="0" borderId="0" xfId="58" applyNumberFormat="1" applyFont="1" applyFill="1" applyBorder="1" applyAlignment="1" applyProtection="1">
      <alignment horizontal="left"/>
      <protection/>
    </xf>
    <xf numFmtId="164" fontId="11" fillId="0" borderId="0" xfId="58" applyFont="1" applyFill="1" applyAlignment="1" applyProtection="1">
      <alignment horizontal="center"/>
      <protection/>
    </xf>
    <xf numFmtId="164" fontId="4" fillId="0" borderId="0" xfId="58" applyFont="1" applyFill="1" applyAlignment="1" applyProtection="1">
      <alignment/>
      <protection/>
    </xf>
    <xf numFmtId="171" fontId="12" fillId="0" borderId="0" xfId="58" applyNumberFormat="1" applyFont="1" applyFill="1" applyAlignment="1" applyProtection="1">
      <alignment/>
      <protection/>
    </xf>
    <xf numFmtId="171" fontId="11" fillId="0" borderId="50" xfId="58" applyNumberFormat="1" applyFont="1" applyBorder="1" applyAlignment="1" applyProtection="1">
      <alignment horizontal="center"/>
      <protection/>
    </xf>
    <xf numFmtId="164" fontId="12" fillId="0" borderId="0" xfId="58" applyNumberFormat="1" applyFont="1" applyFill="1" applyBorder="1" applyAlignment="1" applyProtection="1">
      <alignment horizontal="left"/>
      <protection/>
    </xf>
    <xf numFmtId="171" fontId="12" fillId="39" borderId="39" xfId="58" applyNumberFormat="1" applyFont="1" applyFill="1" applyBorder="1" applyAlignment="1" applyProtection="1">
      <alignment horizontal="center"/>
      <protection/>
    </xf>
    <xf numFmtId="171" fontId="11" fillId="0" borderId="0" xfId="58" applyNumberFormat="1" applyFont="1" applyBorder="1" applyAlignment="1" applyProtection="1">
      <alignment horizontal="center"/>
      <protection/>
    </xf>
    <xf numFmtId="171" fontId="11" fillId="0" borderId="20" xfId="58" applyNumberFormat="1" applyFont="1" applyBorder="1" applyAlignment="1" applyProtection="1">
      <alignment horizontal="center"/>
      <protection/>
    </xf>
    <xf numFmtId="171" fontId="11" fillId="0" borderId="37" xfId="58" applyNumberFormat="1" applyFont="1" applyBorder="1" applyAlignment="1" applyProtection="1">
      <alignment horizontal="center"/>
      <protection/>
    </xf>
    <xf numFmtId="171" fontId="11" fillId="0" borderId="22" xfId="58" applyNumberFormat="1" applyFont="1" applyBorder="1" applyAlignment="1" applyProtection="1">
      <alignment horizontal="center"/>
      <protection/>
    </xf>
    <xf numFmtId="171" fontId="11" fillId="0" borderId="48" xfId="58" applyNumberFormat="1" applyFont="1" applyBorder="1" applyAlignment="1" applyProtection="1">
      <alignment horizontal="center"/>
      <protection/>
    </xf>
    <xf numFmtId="164" fontId="11" fillId="0" borderId="0" xfId="58" applyFont="1" applyFill="1" applyBorder="1" applyProtection="1">
      <alignment/>
      <protection/>
    </xf>
    <xf numFmtId="164" fontId="11" fillId="0" borderId="20" xfId="58" applyNumberFormat="1" applyFont="1" applyFill="1" applyBorder="1" applyAlignment="1" applyProtection="1">
      <alignment horizontal="left"/>
      <protection/>
    </xf>
    <xf numFmtId="164" fontId="11" fillId="0" borderId="20" xfId="58" applyNumberFormat="1" applyFont="1" applyBorder="1" applyAlignment="1" applyProtection="1">
      <alignment horizontal="center" wrapText="1"/>
      <protection/>
    </xf>
    <xf numFmtId="164" fontId="11" fillId="0" borderId="0" xfId="58" applyFont="1" applyBorder="1" applyAlignment="1" applyProtection="1">
      <alignment horizontal="center"/>
      <protection/>
    </xf>
    <xf numFmtId="171" fontId="11" fillId="0" borderId="0" xfId="58" applyNumberFormat="1" applyFont="1" applyFill="1" applyBorder="1" applyAlignment="1" applyProtection="1">
      <alignment horizontal="center"/>
      <protection/>
    </xf>
    <xf numFmtId="171" fontId="12" fillId="0" borderId="0" xfId="58" applyNumberFormat="1" applyFont="1" applyFill="1" applyBorder="1" applyAlignment="1" applyProtection="1">
      <alignment horizontal="center"/>
      <protection/>
    </xf>
    <xf numFmtId="171" fontId="12" fillId="39" borderId="12" xfId="58" applyNumberFormat="1" applyFont="1" applyFill="1" applyBorder="1" applyAlignment="1" applyProtection="1">
      <alignment horizontal="center"/>
      <protection/>
    </xf>
    <xf numFmtId="10" fontId="13" fillId="0" borderId="52" xfId="61" applyNumberFormat="1" applyFont="1" applyBorder="1" applyAlignment="1" applyProtection="1">
      <alignment/>
      <protection locked="0"/>
    </xf>
    <xf numFmtId="164" fontId="12" fillId="0" borderId="49" xfId="58" applyFont="1" applyBorder="1" applyAlignment="1" applyProtection="1">
      <alignment horizontal="center"/>
      <protection/>
    </xf>
    <xf numFmtId="10" fontId="13" fillId="0" borderId="20" xfId="61" applyNumberFormat="1" applyFont="1" applyFill="1" applyBorder="1" applyAlignment="1" applyProtection="1">
      <alignment/>
      <protection locked="0"/>
    </xf>
    <xf numFmtId="164" fontId="11" fillId="0" borderId="0" xfId="58" applyFont="1" applyBorder="1" applyAlignment="1" applyProtection="1">
      <alignment horizontal="right"/>
      <protection/>
    </xf>
    <xf numFmtId="171" fontId="12" fillId="0" borderId="20" xfId="44" applyNumberFormat="1" applyFont="1" applyFill="1" applyBorder="1" applyAlignment="1" applyProtection="1">
      <alignment/>
      <protection/>
    </xf>
    <xf numFmtId="164" fontId="11" fillId="0" borderId="0" xfId="58" applyFont="1" applyAlignment="1" applyProtection="1" quotePrefix="1">
      <alignment horizontal="right"/>
      <protection/>
    </xf>
    <xf numFmtId="164" fontId="11" fillId="0" borderId="37" xfId="58" applyFont="1" applyBorder="1" applyAlignment="1" applyProtection="1" quotePrefix="1">
      <alignment horizontal="right"/>
      <protection/>
    </xf>
    <xf numFmtId="164" fontId="11" fillId="0" borderId="27" xfId="58" applyNumberFormat="1" applyFont="1" applyFill="1" applyBorder="1" applyAlignment="1" applyProtection="1">
      <alignment horizontal="center"/>
      <protection/>
    </xf>
    <xf numFmtId="178" fontId="11" fillId="0" borderId="27" xfId="58" applyNumberFormat="1" applyFont="1" applyFill="1" applyBorder="1" applyAlignment="1" applyProtection="1">
      <alignment horizontal="center"/>
      <protection/>
    </xf>
    <xf numFmtId="7" fontId="11" fillId="0" borderId="33" xfId="58" applyNumberFormat="1" applyFont="1" applyFill="1" applyBorder="1" applyAlignment="1" applyProtection="1">
      <alignment horizontal="center"/>
      <protection/>
    </xf>
    <xf numFmtId="167" fontId="11" fillId="0" borderId="27" xfId="58" applyNumberFormat="1" applyFont="1" applyFill="1" applyBorder="1" applyAlignment="1" applyProtection="1">
      <alignment horizontal="center"/>
      <protection/>
    </xf>
    <xf numFmtId="164" fontId="11" fillId="0" borderId="24" xfId="58" applyFont="1" applyFill="1" applyBorder="1" applyProtection="1">
      <alignment/>
      <protection/>
    </xf>
    <xf numFmtId="164" fontId="11" fillId="0" borderId="27" xfId="58" applyFont="1" applyFill="1" applyBorder="1" applyAlignment="1" applyProtection="1">
      <alignment horizontal="center"/>
      <protection/>
    </xf>
    <xf numFmtId="171" fontId="11" fillId="0" borderId="24" xfId="58" applyNumberFormat="1" applyFont="1" applyBorder="1" applyAlignment="1" applyProtection="1">
      <alignment horizontal="center"/>
      <protection/>
    </xf>
    <xf numFmtId="171" fontId="11" fillId="0" borderId="27" xfId="58" applyNumberFormat="1" applyFont="1" applyBorder="1" applyAlignment="1" applyProtection="1">
      <alignment horizontal="center"/>
      <protection/>
    </xf>
    <xf numFmtId="171" fontId="11" fillId="0" borderId="33" xfId="58" applyNumberFormat="1" applyFont="1" applyBorder="1" applyAlignment="1" applyProtection="1">
      <alignment horizontal="center"/>
      <protection/>
    </xf>
    <xf numFmtId="171" fontId="11" fillId="39" borderId="12" xfId="58" applyNumberFormat="1" applyFont="1" applyFill="1" applyBorder="1" applyAlignment="1" applyProtection="1">
      <alignment horizontal="center"/>
      <protection/>
    </xf>
    <xf numFmtId="176" fontId="11" fillId="0" borderId="50" xfId="58" applyNumberFormat="1" applyFont="1" applyBorder="1" applyAlignment="1" applyProtection="1">
      <alignment horizontal="center"/>
      <protection locked="0"/>
    </xf>
    <xf numFmtId="173" fontId="11" fillId="0" borderId="42" xfId="58" applyNumberFormat="1" applyFont="1" applyBorder="1" applyAlignment="1" applyProtection="1">
      <alignment horizontal="center"/>
      <protection locked="0"/>
    </xf>
    <xf numFmtId="164" fontId="3" fillId="0" borderId="0" xfId="58" applyFont="1" applyProtection="1">
      <alignment/>
      <protection/>
    </xf>
    <xf numFmtId="164" fontId="3" fillId="0" borderId="0" xfId="58" applyFont="1" applyAlignment="1" applyProtection="1">
      <alignment horizontal="center"/>
      <protection/>
    </xf>
    <xf numFmtId="164" fontId="11" fillId="0" borderId="51" xfId="58" applyFont="1" applyBorder="1" applyAlignment="1" applyProtection="1" quotePrefix="1">
      <alignment horizontal="center"/>
      <protection/>
    </xf>
    <xf numFmtId="171" fontId="3" fillId="0" borderId="28" xfId="58" applyNumberFormat="1" applyFill="1" applyBorder="1" applyAlignment="1">
      <alignment horizontal="center"/>
      <protection/>
    </xf>
    <xf numFmtId="171" fontId="3" fillId="0" borderId="0" xfId="58" applyNumberFormat="1" applyFill="1" applyBorder="1" applyAlignment="1">
      <alignment horizontal="center"/>
      <protection/>
    </xf>
    <xf numFmtId="172" fontId="11" fillId="0" borderId="51" xfId="58" applyNumberFormat="1" applyFont="1" applyFill="1" applyBorder="1" applyAlignment="1" applyProtection="1">
      <alignment horizontal="center"/>
      <protection/>
    </xf>
    <xf numFmtId="1" fontId="11" fillId="0" borderId="0" xfId="58" applyNumberFormat="1" applyFont="1" applyFill="1" applyProtection="1">
      <alignment/>
      <protection/>
    </xf>
    <xf numFmtId="164" fontId="3" fillId="0" borderId="20" xfId="58" applyBorder="1" applyAlignment="1" applyProtection="1">
      <alignment/>
      <protection/>
    </xf>
    <xf numFmtId="1" fontId="3" fillId="0" borderId="0" xfId="58" applyNumberFormat="1" applyAlignment="1">
      <alignment horizontal="center"/>
      <protection/>
    </xf>
    <xf numFmtId="38" fontId="11" fillId="39" borderId="0" xfId="58" applyNumberFormat="1" applyFont="1" applyFill="1" applyProtection="1">
      <alignment/>
      <protection/>
    </xf>
    <xf numFmtId="164" fontId="11" fillId="39" borderId="0" xfId="58" applyNumberFormat="1" applyFont="1" applyFill="1" applyProtection="1">
      <alignment/>
      <protection/>
    </xf>
    <xf numFmtId="164" fontId="3" fillId="39" borderId="0" xfId="58" applyFill="1">
      <alignment/>
      <protection/>
    </xf>
    <xf numFmtId="164" fontId="3" fillId="39" borderId="0" xfId="58" applyFont="1" applyFill="1">
      <alignment/>
      <protection/>
    </xf>
    <xf numFmtId="164" fontId="11" fillId="0" borderId="27" xfId="58" applyFont="1" applyFill="1" applyBorder="1" applyAlignment="1" applyProtection="1" quotePrefix="1">
      <alignment horizontal="center"/>
      <protection/>
    </xf>
    <xf numFmtId="164" fontId="11" fillId="0" borderId="33" xfId="58" applyFont="1" applyFill="1" applyBorder="1" applyAlignment="1" applyProtection="1" quotePrefix="1">
      <alignment horizontal="center"/>
      <protection/>
    </xf>
    <xf numFmtId="172" fontId="13" fillId="0" borderId="14" xfId="58" applyNumberFormat="1" applyFont="1" applyBorder="1" applyProtection="1">
      <alignment/>
      <protection/>
    </xf>
    <xf numFmtId="172" fontId="13" fillId="0" borderId="14" xfId="58" applyNumberFormat="1" applyFont="1" applyFill="1" applyBorder="1" applyProtection="1">
      <alignment/>
      <protection/>
    </xf>
    <xf numFmtId="165" fontId="13" fillId="0" borderId="14" xfId="58" applyNumberFormat="1" applyFont="1" applyBorder="1" applyProtection="1">
      <alignment/>
      <protection/>
    </xf>
    <xf numFmtId="171" fontId="11" fillId="0" borderId="14" xfId="58" applyNumberFormat="1" applyFont="1" applyFill="1" applyBorder="1" applyProtection="1">
      <alignment/>
      <protection/>
    </xf>
    <xf numFmtId="165" fontId="13" fillId="0" borderId="14" xfId="58" applyNumberFormat="1" applyFont="1" applyFill="1" applyBorder="1" applyProtection="1">
      <alignment/>
      <protection/>
    </xf>
    <xf numFmtId="164" fontId="36" fillId="0" borderId="0" xfId="58" applyFont="1" applyBorder="1" applyAlignment="1">
      <alignment horizontal="center"/>
      <protection/>
    </xf>
    <xf numFmtId="164" fontId="22" fillId="0" borderId="0" xfId="58" applyFont="1" applyBorder="1">
      <alignment/>
      <protection/>
    </xf>
    <xf numFmtId="0" fontId="22" fillId="0" borderId="0" xfId="0" applyNumberFormat="1" applyFont="1" applyBorder="1" applyAlignment="1">
      <alignment vertical="top" wrapText="1"/>
    </xf>
    <xf numFmtId="0" fontId="22" fillId="0" borderId="0" xfId="58" applyNumberFormat="1" applyFont="1" applyBorder="1" applyAlignment="1">
      <alignment vertical="top" wrapText="1"/>
      <protection/>
    </xf>
    <xf numFmtId="0" fontId="22" fillId="0" borderId="0" xfId="0" applyFont="1" applyBorder="1" applyAlignment="1">
      <alignment vertical="top" wrapText="1"/>
    </xf>
    <xf numFmtId="164" fontId="22" fillId="0" borderId="0" xfId="58" applyFont="1" applyBorder="1" applyAlignment="1">
      <alignment vertical="top" wrapText="1"/>
      <protection/>
    </xf>
    <xf numFmtId="164" fontId="22" fillId="0" borderId="0" xfId="58" applyFont="1">
      <alignment/>
      <protection/>
    </xf>
    <xf numFmtId="164" fontId="22" fillId="0" borderId="0" xfId="58" applyFont="1" applyAlignment="1">
      <alignment vertical="top" wrapText="1"/>
      <protection/>
    </xf>
    <xf numFmtId="164" fontId="3" fillId="0" borderId="0" xfId="58" applyBorder="1" applyAlignment="1" applyProtection="1">
      <alignment/>
      <protection/>
    </xf>
    <xf numFmtId="164" fontId="3" fillId="0" borderId="0" xfId="58" applyAlignment="1" applyProtection="1">
      <alignment/>
      <protection/>
    </xf>
    <xf numFmtId="164" fontId="3" fillId="0" borderId="0" xfId="58" applyBorder="1" applyAlignment="1" applyProtection="1">
      <alignment horizontal="left"/>
      <protection/>
    </xf>
    <xf numFmtId="164" fontId="3" fillId="0" borderId="20" xfId="58" applyBorder="1" applyAlignment="1" applyProtection="1">
      <alignment horizontal="left"/>
      <protection/>
    </xf>
    <xf numFmtId="164" fontId="11" fillId="0" borderId="0" xfId="58" applyNumberFormat="1" applyFont="1" applyFill="1" applyAlignment="1" applyProtection="1">
      <alignment/>
      <protection/>
    </xf>
    <xf numFmtId="164" fontId="11" fillId="0" borderId="0" xfId="58" applyNumberFormat="1" applyFont="1" applyFill="1" applyBorder="1" applyAlignment="1" applyProtection="1">
      <alignment/>
      <protection/>
    </xf>
    <xf numFmtId="165" fontId="13" fillId="0" borderId="27" xfId="58" applyNumberFormat="1" applyFont="1" applyBorder="1" applyProtection="1">
      <alignment/>
      <protection/>
    </xf>
    <xf numFmtId="3" fontId="3" fillId="0" borderId="27" xfId="58" applyNumberFormat="1" applyBorder="1" applyProtection="1">
      <alignment/>
      <protection/>
    </xf>
    <xf numFmtId="172" fontId="13" fillId="0" borderId="27" xfId="58" applyNumberFormat="1" applyFont="1" applyBorder="1" applyProtection="1">
      <alignment/>
      <protection/>
    </xf>
    <xf numFmtId="172" fontId="13" fillId="36" borderId="31" xfId="58" applyNumberFormat="1" applyFont="1" applyFill="1" applyBorder="1" applyProtection="1">
      <alignment/>
      <protection/>
    </xf>
    <xf numFmtId="165" fontId="13" fillId="0" borderId="33" xfId="58" applyNumberFormat="1" applyFont="1" applyBorder="1" applyProtection="1">
      <alignment/>
      <protection/>
    </xf>
    <xf numFmtId="3" fontId="3" fillId="0" borderId="33" xfId="58" applyNumberFormat="1" applyBorder="1" applyProtection="1">
      <alignment/>
      <protection/>
    </xf>
    <xf numFmtId="172" fontId="13" fillId="0" borderId="33" xfId="58" applyNumberFormat="1" applyFont="1" applyBorder="1" applyProtection="1">
      <alignment/>
      <protection/>
    </xf>
    <xf numFmtId="3" fontId="3" fillId="0" borderId="26" xfId="58" applyNumberFormat="1" applyBorder="1" applyProtection="1">
      <alignment/>
      <protection/>
    </xf>
    <xf numFmtId="9" fontId="5" fillId="0" borderId="0" xfId="58" applyNumberFormat="1" applyFont="1" applyProtection="1">
      <alignment/>
      <protection locked="0"/>
    </xf>
    <xf numFmtId="9" fontId="13" fillId="0" borderId="14" xfId="42" applyNumberFormat="1" applyFont="1" applyBorder="1" applyAlignment="1" applyProtection="1">
      <alignment/>
      <protection locked="0"/>
    </xf>
    <xf numFmtId="9" fontId="13" fillId="0" borderId="31" xfId="42" applyNumberFormat="1" applyFont="1" applyBorder="1" applyAlignment="1" applyProtection="1">
      <alignment/>
      <protection locked="0"/>
    </xf>
    <xf numFmtId="165" fontId="13" fillId="0" borderId="29" xfId="58" applyNumberFormat="1" applyFont="1" applyBorder="1" applyProtection="1">
      <alignment/>
      <protection/>
    </xf>
    <xf numFmtId="3" fontId="3" fillId="0" borderId="0" xfId="58" applyNumberFormat="1" applyBorder="1" applyProtection="1">
      <alignment/>
      <protection/>
    </xf>
    <xf numFmtId="172" fontId="17" fillId="0" borderId="41" xfId="58" applyNumberFormat="1" applyFont="1" applyFill="1" applyBorder="1" applyProtection="1">
      <alignment/>
      <protection/>
    </xf>
    <xf numFmtId="176" fontId="13" fillId="0" borderId="53" xfId="58" applyNumberFormat="1" applyFont="1" applyBorder="1" applyAlignment="1" applyProtection="1">
      <alignment horizontal="center"/>
      <protection locked="0"/>
    </xf>
    <xf numFmtId="176" fontId="13" fillId="0" borderId="54" xfId="58" applyNumberFormat="1" applyFont="1" applyBorder="1" applyAlignment="1" applyProtection="1">
      <alignment horizontal="center"/>
      <protection locked="0"/>
    </xf>
    <xf numFmtId="176" fontId="13" fillId="0" borderId="15" xfId="58" applyNumberFormat="1" applyFont="1" applyBorder="1" applyAlignment="1" applyProtection="1">
      <alignment horizontal="center"/>
      <protection locked="0"/>
    </xf>
    <xf numFmtId="176" fontId="13" fillId="0" borderId="15" xfId="58" applyNumberFormat="1" applyFont="1" applyFill="1" applyBorder="1" applyAlignment="1" applyProtection="1">
      <alignment horizontal="center"/>
      <protection locked="0"/>
    </xf>
    <xf numFmtId="176" fontId="13" fillId="0" borderId="14" xfId="58" applyNumberFormat="1" applyFont="1" applyBorder="1" applyAlignment="1" applyProtection="1">
      <alignment horizontal="center"/>
      <protection locked="0"/>
    </xf>
    <xf numFmtId="164" fontId="11" fillId="41" borderId="0" xfId="58" applyFont="1" applyFill="1" applyAlignment="1" applyProtection="1">
      <alignment horizontal="right"/>
      <protection/>
    </xf>
    <xf numFmtId="171" fontId="11" fillId="41" borderId="0" xfId="58" applyNumberFormat="1" applyFont="1" applyFill="1" applyAlignment="1" applyProtection="1">
      <alignment horizontal="center"/>
      <protection/>
    </xf>
    <xf numFmtId="164" fontId="35" fillId="0" borderId="12" xfId="58" applyNumberFormat="1" applyFont="1" applyBorder="1" applyAlignment="1" applyProtection="1">
      <alignment horizontal="center"/>
      <protection/>
    </xf>
    <xf numFmtId="164" fontId="4" fillId="0" borderId="21" xfId="58" applyFont="1" applyFill="1" applyBorder="1" applyAlignment="1" applyProtection="1">
      <alignment horizontal="center"/>
      <protection/>
    </xf>
    <xf numFmtId="0" fontId="22" fillId="37" borderId="0" xfId="57" applyFill="1" applyBorder="1">
      <alignment/>
      <protection/>
    </xf>
    <xf numFmtId="171" fontId="22" fillId="35" borderId="0" xfId="57" applyNumberFormat="1" applyFill="1">
      <alignment/>
      <protection/>
    </xf>
    <xf numFmtId="9" fontId="5" fillId="0" borderId="0" xfId="58" applyNumberFormat="1" applyFont="1" applyBorder="1" applyAlignment="1" applyProtection="1">
      <alignment horizontal="center"/>
      <protection locked="0"/>
    </xf>
    <xf numFmtId="164" fontId="3" fillId="44" borderId="0" xfId="58" applyNumberFormat="1" applyFill="1" applyProtection="1">
      <alignment/>
      <protection/>
    </xf>
    <xf numFmtId="164" fontId="11" fillId="44" borderId="0" xfId="58" applyNumberFormat="1" applyFont="1" applyFill="1" applyProtection="1">
      <alignment/>
      <protection/>
    </xf>
    <xf numFmtId="5" fontId="11" fillId="44" borderId="14" xfId="42" applyNumberFormat="1" applyFont="1" applyFill="1" applyBorder="1" applyAlignment="1" applyProtection="1">
      <alignment/>
      <protection/>
    </xf>
    <xf numFmtId="5" fontId="11" fillId="44" borderId="24" xfId="42" applyNumberFormat="1" applyFont="1" applyFill="1" applyBorder="1" applyAlignment="1" applyProtection="1">
      <alignment/>
      <protection/>
    </xf>
    <xf numFmtId="5" fontId="11" fillId="44" borderId="0" xfId="42" applyNumberFormat="1" applyFont="1" applyFill="1" applyBorder="1" applyAlignment="1" applyProtection="1">
      <alignment/>
      <protection/>
    </xf>
    <xf numFmtId="164" fontId="3" fillId="44" borderId="0" xfId="58" applyFill="1" applyBorder="1" applyAlignment="1">
      <alignment horizontal="right"/>
      <protection/>
    </xf>
    <xf numFmtId="5" fontId="11" fillId="44" borderId="11" xfId="42" applyNumberFormat="1" applyFont="1" applyFill="1" applyBorder="1" applyAlignment="1" applyProtection="1">
      <alignment/>
      <protection/>
    </xf>
    <xf numFmtId="43" fontId="11" fillId="44" borderId="14" xfId="42" applyFont="1" applyFill="1" applyBorder="1" applyAlignment="1" applyProtection="1">
      <alignment/>
      <protection/>
    </xf>
    <xf numFmtId="5" fontId="11" fillId="44" borderId="12" xfId="42" applyNumberFormat="1" applyFont="1" applyFill="1" applyBorder="1" applyAlignment="1" applyProtection="1">
      <alignment/>
      <protection/>
    </xf>
    <xf numFmtId="43" fontId="11" fillId="44" borderId="0" xfId="42" applyFont="1" applyFill="1" applyBorder="1" applyAlignment="1" applyProtection="1">
      <alignment/>
      <protection/>
    </xf>
    <xf numFmtId="171" fontId="11" fillId="44" borderId="12" xfId="42" applyNumberFormat="1" applyFont="1" applyFill="1" applyBorder="1" applyAlignment="1" applyProtection="1">
      <alignment/>
      <protection/>
    </xf>
    <xf numFmtId="171" fontId="11" fillId="44" borderId="0" xfId="42" applyNumberFormat="1" applyFont="1" applyFill="1" applyBorder="1" applyAlignment="1" applyProtection="1">
      <alignment/>
      <protection/>
    </xf>
    <xf numFmtId="164" fontId="3" fillId="44" borderId="14" xfId="58" applyNumberFormat="1" applyFill="1" applyBorder="1" applyAlignment="1" applyProtection="1">
      <alignment horizontal="center"/>
      <protection/>
    </xf>
    <xf numFmtId="164" fontId="3" fillId="44" borderId="24" xfId="58" applyNumberFormat="1" applyFill="1" applyBorder="1" applyAlignment="1" applyProtection="1">
      <alignment horizontal="center"/>
      <protection/>
    </xf>
    <xf numFmtId="164" fontId="3" fillId="44" borderId="0" xfId="58" applyNumberFormat="1" applyFill="1" applyBorder="1" applyAlignment="1" applyProtection="1">
      <alignment horizontal="center"/>
      <protection/>
    </xf>
    <xf numFmtId="164" fontId="3" fillId="44" borderId="0" xfId="58" applyFill="1">
      <alignment/>
      <protection/>
    </xf>
    <xf numFmtId="43" fontId="11" fillId="44" borderId="14" xfId="42" applyFont="1" applyFill="1" applyBorder="1" applyAlignment="1" applyProtection="1">
      <alignment horizontal="center"/>
      <protection/>
    </xf>
    <xf numFmtId="164" fontId="3" fillId="44" borderId="33" xfId="58" applyNumberFormat="1" applyFill="1" applyBorder="1" applyAlignment="1" applyProtection="1">
      <alignment horizontal="center"/>
      <protection/>
    </xf>
    <xf numFmtId="164" fontId="11" fillId="44" borderId="20" xfId="58" applyNumberFormat="1" applyFont="1" applyFill="1" applyBorder="1" applyProtection="1">
      <alignment/>
      <protection/>
    </xf>
    <xf numFmtId="5" fontId="11" fillId="44" borderId="11" xfId="58" applyNumberFormat="1" applyFont="1" applyFill="1" applyBorder="1" applyProtection="1">
      <alignment/>
      <protection/>
    </xf>
    <xf numFmtId="5" fontId="11" fillId="44" borderId="12" xfId="58" applyNumberFormat="1" applyFont="1" applyFill="1" applyBorder="1" applyProtection="1">
      <alignment/>
      <protection/>
    </xf>
    <xf numFmtId="5" fontId="11" fillId="44" borderId="0" xfId="58" applyNumberFormat="1" applyFont="1" applyFill="1" applyBorder="1" applyProtection="1">
      <alignment/>
      <protection/>
    </xf>
    <xf numFmtId="5" fontId="11" fillId="44" borderId="19" xfId="58" applyNumberFormat="1" applyFont="1" applyFill="1" applyBorder="1" applyProtection="1">
      <alignment/>
      <protection/>
    </xf>
    <xf numFmtId="164" fontId="3" fillId="44" borderId="24" xfId="58" applyFill="1" applyBorder="1" applyAlignment="1">
      <alignment horizontal="center"/>
      <protection/>
    </xf>
    <xf numFmtId="164" fontId="11" fillId="44" borderId="0" xfId="58" applyNumberFormat="1" applyFont="1" applyFill="1" applyBorder="1" applyAlignment="1" applyProtection="1">
      <alignment horizontal="center"/>
      <protection/>
    </xf>
    <xf numFmtId="164" fontId="11" fillId="44" borderId="24" xfId="58" applyNumberFormat="1" applyFont="1" applyFill="1" applyBorder="1" applyAlignment="1" applyProtection="1">
      <alignment horizontal="center"/>
      <protection/>
    </xf>
    <xf numFmtId="164" fontId="12" fillId="44" borderId="0" xfId="58" applyNumberFormat="1" applyFont="1" applyFill="1" applyAlignment="1" applyProtection="1" quotePrefix="1">
      <alignment horizontal="left"/>
      <protection/>
    </xf>
    <xf numFmtId="164" fontId="11" fillId="44" borderId="0" xfId="58" applyNumberFormat="1" applyFont="1" applyFill="1" applyBorder="1" applyProtection="1">
      <alignment/>
      <protection/>
    </xf>
    <xf numFmtId="164" fontId="11" fillId="44" borderId="27" xfId="58" applyNumberFormat="1" applyFont="1" applyFill="1" applyBorder="1" applyAlignment="1" applyProtection="1">
      <alignment horizontal="center"/>
      <protection/>
    </xf>
    <xf numFmtId="164" fontId="3" fillId="44" borderId="0" xfId="58" applyFill="1" applyAlignment="1">
      <alignment horizontal="center"/>
      <protection/>
    </xf>
    <xf numFmtId="164" fontId="3" fillId="44" borderId="27" xfId="58" applyFill="1" applyBorder="1" applyAlignment="1">
      <alignment horizontal="center"/>
      <protection/>
    </xf>
    <xf numFmtId="164" fontId="3" fillId="44" borderId="20" xfId="58" applyFont="1" applyFill="1" applyBorder="1" applyAlignment="1">
      <alignment horizontal="center"/>
      <protection/>
    </xf>
    <xf numFmtId="164" fontId="11" fillId="44" borderId="33" xfId="58" applyNumberFormat="1" applyFont="1" applyFill="1" applyBorder="1" applyAlignment="1" applyProtection="1">
      <alignment horizontal="center"/>
      <protection/>
    </xf>
    <xf numFmtId="164" fontId="11" fillId="44" borderId="20" xfId="58" applyNumberFormat="1" applyFont="1" applyFill="1" applyBorder="1" applyAlignment="1" applyProtection="1">
      <alignment horizontal="center"/>
      <protection/>
    </xf>
    <xf numFmtId="164" fontId="11" fillId="44" borderId="0" xfId="58" applyNumberFormat="1" applyFont="1" applyFill="1" applyAlignment="1" applyProtection="1">
      <alignment horizontal="left"/>
      <protection/>
    </xf>
    <xf numFmtId="164" fontId="3" fillId="44" borderId="0" xfId="58" applyFill="1" applyAlignment="1">
      <alignment/>
      <protection/>
    </xf>
    <xf numFmtId="164" fontId="11" fillId="44" borderId="55" xfId="58" applyNumberFormat="1" applyFont="1" applyFill="1" applyBorder="1" applyAlignment="1" applyProtection="1">
      <alignment horizontal="right"/>
      <protection/>
    </xf>
    <xf numFmtId="164" fontId="3" fillId="44" borderId="0" xfId="58" applyFill="1" applyBorder="1">
      <alignment/>
      <protection/>
    </xf>
    <xf numFmtId="164" fontId="12" fillId="44" borderId="20" xfId="58" applyNumberFormat="1" applyFont="1" applyFill="1" applyBorder="1" applyAlignment="1" applyProtection="1" quotePrefix="1">
      <alignment horizontal="left"/>
      <protection/>
    </xf>
    <xf numFmtId="164" fontId="11" fillId="44" borderId="0" xfId="58" applyNumberFormat="1" applyFont="1" applyFill="1" applyAlignment="1" applyProtection="1">
      <alignment horizontal="center"/>
      <protection/>
    </xf>
    <xf numFmtId="164" fontId="11" fillId="44" borderId="0" xfId="58" applyNumberFormat="1" applyFont="1" applyFill="1" applyBorder="1" applyAlignment="1" applyProtection="1">
      <alignment horizontal="right"/>
      <protection/>
    </xf>
    <xf numFmtId="164" fontId="3" fillId="44" borderId="0" xfId="58" applyFill="1" applyBorder="1" applyAlignment="1">
      <alignment/>
      <protection/>
    </xf>
    <xf numFmtId="43" fontId="11" fillId="44" borderId="24" xfId="42" applyFont="1" applyFill="1" applyBorder="1" applyAlignment="1" applyProtection="1">
      <alignment horizontal="center"/>
      <protection/>
    </xf>
    <xf numFmtId="43" fontId="11" fillId="44" borderId="27" xfId="42" applyFont="1" applyFill="1" applyBorder="1" applyAlignment="1" applyProtection="1">
      <alignment horizontal="center"/>
      <protection/>
    </xf>
    <xf numFmtId="43" fontId="11" fillId="44" borderId="33" xfId="42" applyFont="1" applyFill="1" applyBorder="1" applyAlignment="1" applyProtection="1">
      <alignment horizontal="center"/>
      <protection/>
    </xf>
    <xf numFmtId="164" fontId="11" fillId="44" borderId="20" xfId="58" applyNumberFormat="1" applyFont="1" applyFill="1" applyBorder="1" applyAlignment="1" applyProtection="1">
      <alignment horizontal="right"/>
      <protection/>
    </xf>
    <xf numFmtId="43" fontId="11" fillId="44" borderId="24" xfId="42" applyFont="1" applyFill="1" applyBorder="1" applyAlignment="1" applyProtection="1">
      <alignment/>
      <protection/>
    </xf>
    <xf numFmtId="43" fontId="11" fillId="44" borderId="27" xfId="42" applyFont="1" applyFill="1" applyBorder="1" applyAlignment="1" applyProtection="1">
      <alignment/>
      <protection/>
    </xf>
    <xf numFmtId="43" fontId="11" fillId="44" borderId="0" xfId="42" applyFont="1" applyFill="1" applyBorder="1" applyAlignment="1" applyProtection="1">
      <alignment horizontal="center"/>
      <protection/>
    </xf>
    <xf numFmtId="43" fontId="11" fillId="44" borderId="20" xfId="42" applyFont="1" applyFill="1" applyBorder="1" applyAlignment="1" applyProtection="1">
      <alignment horizontal="center"/>
      <protection/>
    </xf>
    <xf numFmtId="43" fontId="11" fillId="44" borderId="31" xfId="42" applyFont="1" applyFill="1" applyBorder="1" applyAlignment="1" applyProtection="1">
      <alignment/>
      <protection/>
    </xf>
    <xf numFmtId="164" fontId="4" fillId="44" borderId="20" xfId="58" applyFont="1" applyFill="1" applyBorder="1" applyProtection="1">
      <alignment/>
      <protection/>
    </xf>
    <xf numFmtId="164" fontId="12" fillId="44" borderId="20" xfId="58" applyNumberFormat="1" applyFont="1" applyFill="1" applyBorder="1" applyProtection="1">
      <alignment/>
      <protection/>
    </xf>
    <xf numFmtId="164" fontId="11" fillId="44" borderId="0" xfId="58" applyNumberFormat="1" applyFont="1" applyFill="1" applyAlignment="1" applyProtection="1" quotePrefix="1">
      <alignment horizontal="left"/>
      <protection/>
    </xf>
    <xf numFmtId="171" fontId="22" fillId="35" borderId="20" xfId="57" applyNumberFormat="1" applyFill="1" applyBorder="1">
      <alignment/>
      <protection/>
    </xf>
    <xf numFmtId="0" fontId="22" fillId="44" borderId="0" xfId="57" applyFill="1">
      <alignment/>
      <protection/>
    </xf>
    <xf numFmtId="0" fontId="22" fillId="44" borderId="0" xfId="57" applyFill="1" applyAlignment="1">
      <alignment horizontal="center"/>
      <protection/>
    </xf>
    <xf numFmtId="172" fontId="22" fillId="44" borderId="0" xfId="57" applyNumberFormat="1" applyFill="1">
      <alignment/>
      <protection/>
    </xf>
    <xf numFmtId="0" fontId="24" fillId="0" borderId="20" xfId="57" applyFont="1" applyFill="1" applyBorder="1" applyAlignment="1" applyProtection="1">
      <alignment horizontal="center"/>
      <protection locked="0"/>
    </xf>
    <xf numFmtId="0" fontId="24" fillId="0" borderId="0" xfId="57" applyFont="1" applyProtection="1">
      <alignment/>
      <protection locked="0"/>
    </xf>
    <xf numFmtId="171" fontId="22" fillId="35" borderId="0" xfId="57" applyNumberFormat="1" applyFill="1" applyAlignment="1" applyProtection="1">
      <alignment horizontal="center"/>
      <protection/>
    </xf>
    <xf numFmtId="1" fontId="22" fillId="33" borderId="20" xfId="57" applyNumberFormat="1" applyFill="1" applyBorder="1" applyAlignment="1" applyProtection="1">
      <alignment horizontal="center"/>
      <protection/>
    </xf>
    <xf numFmtId="171" fontId="22" fillId="33" borderId="0" xfId="57" applyNumberFormat="1" applyFill="1" applyProtection="1">
      <alignment/>
      <protection/>
    </xf>
    <xf numFmtId="0" fontId="22" fillId="33" borderId="20" xfId="57" applyFill="1" applyBorder="1" applyProtection="1">
      <alignment/>
      <protection/>
    </xf>
    <xf numFmtId="171" fontId="22" fillId="33" borderId="20" xfId="57" applyNumberFormat="1" applyFill="1" applyBorder="1" applyAlignment="1" applyProtection="1">
      <alignment horizontal="center"/>
      <protection/>
    </xf>
    <xf numFmtId="0" fontId="22" fillId="33" borderId="0" xfId="57" applyFont="1" applyFill="1" applyProtection="1">
      <alignment/>
      <protection/>
    </xf>
    <xf numFmtId="0" fontId="22" fillId="33" borderId="0" xfId="57" applyFill="1" applyProtection="1">
      <alignment/>
      <protection/>
    </xf>
    <xf numFmtId="0" fontId="22" fillId="44" borderId="20" xfId="57" applyFill="1" applyBorder="1">
      <alignment/>
      <protection/>
    </xf>
    <xf numFmtId="7" fontId="11" fillId="44" borderId="37" xfId="58" applyNumberFormat="1" applyFont="1" applyFill="1" applyBorder="1" applyProtection="1">
      <alignment/>
      <protection/>
    </xf>
    <xf numFmtId="171" fontId="12" fillId="0" borderId="0" xfId="58" applyNumberFormat="1" applyFont="1" applyFill="1" applyBorder="1" applyProtection="1">
      <alignment/>
      <protection/>
    </xf>
    <xf numFmtId="164" fontId="3" fillId="0" borderId="0" xfId="58" applyBorder="1" applyProtection="1">
      <alignment/>
      <protection/>
    </xf>
    <xf numFmtId="0" fontId="0" fillId="0" borderId="0" xfId="0" applyAlignment="1">
      <alignment horizontal="center"/>
    </xf>
    <xf numFmtId="0" fontId="0" fillId="0" borderId="0" xfId="0" applyFont="1" applyAlignment="1">
      <alignment horizontal="center"/>
    </xf>
    <xf numFmtId="172" fontId="0" fillId="0" borderId="0" xfId="0" applyNumberFormat="1" applyAlignment="1">
      <alignment horizontal="center"/>
    </xf>
    <xf numFmtId="2" fontId="0" fillId="0" borderId="0" xfId="0" applyNumberFormat="1" applyAlignment="1">
      <alignment horizontal="center"/>
    </xf>
    <xf numFmtId="172" fontId="3" fillId="0" borderId="0" xfId="58" applyNumberFormat="1" applyAlignment="1">
      <alignment horizontal="center"/>
      <protection/>
    </xf>
    <xf numFmtId="171" fontId="11" fillId="0" borderId="51" xfId="58" applyNumberFormat="1" applyFont="1" applyFill="1" applyBorder="1" applyAlignment="1" applyProtection="1">
      <alignment horizontal="center"/>
      <protection/>
    </xf>
    <xf numFmtId="172" fontId="11" fillId="0" borderId="37" xfId="61" applyNumberFormat="1" applyFont="1" applyFill="1" applyBorder="1" applyAlignment="1" applyProtection="1">
      <alignment horizontal="center"/>
      <protection locked="0"/>
    </xf>
    <xf numFmtId="9" fontId="3" fillId="0" borderId="0" xfId="58" applyNumberFormat="1" applyProtection="1">
      <alignment/>
      <protection/>
    </xf>
    <xf numFmtId="9" fontId="3" fillId="0" borderId="0" xfId="58" applyNumberFormat="1" applyAlignment="1">
      <alignment horizontal="center"/>
      <protection/>
    </xf>
    <xf numFmtId="171" fontId="3" fillId="45" borderId="0" xfId="58" applyNumberFormat="1" applyFill="1" applyAlignment="1">
      <alignment horizontal="center"/>
      <protection/>
    </xf>
    <xf numFmtId="164" fontId="12" fillId="46" borderId="0" xfId="58" applyFont="1" applyFill="1" applyAlignment="1" applyProtection="1">
      <alignment horizontal="center"/>
      <protection/>
    </xf>
    <xf numFmtId="171" fontId="11" fillId="46" borderId="0" xfId="58" applyNumberFormat="1" applyFont="1" applyFill="1" applyAlignment="1" applyProtection="1">
      <alignment horizontal="center"/>
      <protection/>
    </xf>
    <xf numFmtId="171" fontId="12" fillId="46" borderId="0" xfId="44" applyNumberFormat="1" applyFont="1" applyFill="1" applyAlignment="1" applyProtection="1">
      <alignment/>
      <protection/>
    </xf>
    <xf numFmtId="164" fontId="11" fillId="46" borderId="0" xfId="58" applyFont="1" applyFill="1" applyProtection="1">
      <alignment/>
      <protection/>
    </xf>
    <xf numFmtId="171" fontId="12" fillId="46" borderId="0" xfId="58" applyNumberFormat="1" applyFont="1" applyFill="1" applyAlignment="1" applyProtection="1">
      <alignment horizontal="center"/>
      <protection/>
    </xf>
    <xf numFmtId="171" fontId="12" fillId="46" borderId="0" xfId="44" applyNumberFormat="1" applyFont="1" applyFill="1" applyAlignment="1" applyProtection="1">
      <alignment horizontal="right"/>
      <protection/>
    </xf>
    <xf numFmtId="164" fontId="3" fillId="46" borderId="0" xfId="58" applyFill="1" applyAlignment="1">
      <alignment horizontal="right"/>
      <protection/>
    </xf>
    <xf numFmtId="171" fontId="11" fillId="46" borderId="0" xfId="44" applyNumberFormat="1" applyFont="1" applyFill="1" applyAlignment="1" applyProtection="1">
      <alignment horizontal="right"/>
      <protection/>
    </xf>
    <xf numFmtId="164" fontId="11" fillId="46" borderId="0" xfId="58" applyFont="1" applyFill="1" applyAlignment="1" applyProtection="1">
      <alignment horizontal="right"/>
      <protection/>
    </xf>
    <xf numFmtId="164" fontId="12" fillId="47" borderId="0" xfId="58" applyFont="1" applyFill="1" applyBorder="1" applyAlignment="1" applyProtection="1">
      <alignment horizontal="center"/>
      <protection/>
    </xf>
    <xf numFmtId="172" fontId="13" fillId="47" borderId="0" xfId="61" applyNumberFormat="1" applyFont="1" applyFill="1" applyBorder="1" applyAlignment="1" applyProtection="1">
      <alignment horizontal="center"/>
      <protection locked="0"/>
    </xf>
    <xf numFmtId="172" fontId="13" fillId="47" borderId="0" xfId="61" applyNumberFormat="1" applyFont="1" applyFill="1" applyBorder="1" applyAlignment="1" applyProtection="1" quotePrefix="1">
      <alignment horizontal="center"/>
      <protection locked="0"/>
    </xf>
    <xf numFmtId="164" fontId="11" fillId="47" borderId="0" xfId="58" applyFont="1" applyFill="1" applyAlignment="1" applyProtection="1">
      <alignment horizontal="left"/>
      <protection/>
    </xf>
    <xf numFmtId="164" fontId="3" fillId="47" borderId="0" xfId="58" applyFill="1">
      <alignment/>
      <protection/>
    </xf>
    <xf numFmtId="164" fontId="11" fillId="47" borderId="0" xfId="58" applyFont="1" applyFill="1" applyProtection="1">
      <alignment/>
      <protection/>
    </xf>
    <xf numFmtId="171" fontId="12" fillId="47" borderId="0" xfId="58" applyNumberFormat="1" applyFont="1" applyFill="1" applyAlignment="1" applyProtection="1">
      <alignment horizontal="center"/>
      <protection/>
    </xf>
    <xf numFmtId="171" fontId="11" fillId="47" borderId="0" xfId="58" applyNumberFormat="1" applyFont="1" applyFill="1" applyAlignment="1" applyProtection="1">
      <alignment horizontal="center"/>
      <protection/>
    </xf>
    <xf numFmtId="164" fontId="12" fillId="47" borderId="0" xfId="58" applyFont="1" applyFill="1" applyProtection="1">
      <alignment/>
      <protection/>
    </xf>
    <xf numFmtId="164" fontId="3" fillId="47" borderId="0" xfId="58" applyFill="1" applyAlignment="1">
      <alignment horizontal="right"/>
      <protection/>
    </xf>
    <xf numFmtId="171" fontId="12" fillId="47" borderId="0" xfId="44" applyNumberFormat="1" applyFont="1" applyFill="1" applyAlignment="1" applyProtection="1">
      <alignment/>
      <protection/>
    </xf>
    <xf numFmtId="164" fontId="11" fillId="47" borderId="0" xfId="58" applyFont="1" applyFill="1" applyAlignment="1" applyProtection="1">
      <alignment horizontal="right"/>
      <protection/>
    </xf>
    <xf numFmtId="171" fontId="13" fillId="0" borderId="14" xfId="58" applyNumberFormat="1" applyFont="1" applyBorder="1" applyProtection="1">
      <alignment/>
      <protection locked="0"/>
    </xf>
    <xf numFmtId="171" fontId="13" fillId="0" borderId="31" xfId="58" applyNumberFormat="1" applyFont="1" applyBorder="1" applyAlignment="1" applyProtection="1">
      <alignment horizontal="right"/>
      <protection locked="0"/>
    </xf>
    <xf numFmtId="171" fontId="3" fillId="0" borderId="26" xfId="58" applyNumberFormat="1" applyBorder="1">
      <alignment/>
      <protection/>
    </xf>
    <xf numFmtId="171" fontId="3" fillId="0" borderId="35" xfId="58" applyNumberFormat="1" applyBorder="1">
      <alignment/>
      <protection/>
    </xf>
    <xf numFmtId="5" fontId="11" fillId="0" borderId="14" xfId="42" applyNumberFormat="1" applyFont="1" applyBorder="1" applyAlignment="1" applyProtection="1">
      <alignment/>
      <protection/>
    </xf>
    <xf numFmtId="5" fontId="11" fillId="0" borderId="32" xfId="42" applyNumberFormat="1" applyFont="1" applyBorder="1" applyAlignment="1" applyProtection="1">
      <alignment/>
      <protection/>
    </xf>
    <xf numFmtId="5" fontId="11" fillId="0" borderId="14" xfId="42" applyNumberFormat="1" applyFont="1" applyFill="1" applyBorder="1" applyAlignment="1" applyProtection="1">
      <alignment/>
      <protection/>
    </xf>
    <xf numFmtId="171" fontId="13" fillId="0" borderId="14" xfId="58" applyNumberFormat="1" applyFont="1" applyBorder="1" applyProtection="1">
      <alignment/>
      <protection/>
    </xf>
    <xf numFmtId="171" fontId="13" fillId="0" borderId="31" xfId="58" applyNumberFormat="1" applyFont="1" applyBorder="1" applyProtection="1">
      <alignment/>
      <protection/>
    </xf>
    <xf numFmtId="5" fontId="11" fillId="0" borderId="31" xfId="42" applyNumberFormat="1" applyFont="1" applyBorder="1" applyAlignment="1" applyProtection="1">
      <alignment/>
      <protection/>
    </xf>
    <xf numFmtId="171" fontId="13" fillId="0" borderId="14" xfId="58" applyNumberFormat="1" applyFont="1" applyFill="1" applyBorder="1" applyProtection="1">
      <alignment/>
      <protection/>
    </xf>
    <xf numFmtId="171" fontId="11" fillId="33" borderId="14" xfId="58" applyNumberFormat="1" applyFont="1" applyFill="1" applyBorder="1" applyProtection="1">
      <alignment/>
      <protection/>
    </xf>
    <xf numFmtId="171" fontId="13" fillId="0" borderId="14" xfId="58" applyNumberFormat="1" applyFont="1" applyFill="1" applyBorder="1" applyAlignment="1" applyProtection="1">
      <alignment horizontal="right"/>
      <protection/>
    </xf>
    <xf numFmtId="173" fontId="13" fillId="0" borderId="14" xfId="58" applyNumberFormat="1" applyFont="1" applyBorder="1" applyProtection="1">
      <alignment/>
      <protection locked="0"/>
    </xf>
    <xf numFmtId="173" fontId="3" fillId="0" borderId="26" xfId="58" applyNumberFormat="1" applyBorder="1">
      <alignment/>
      <protection/>
    </xf>
    <xf numFmtId="173" fontId="13" fillId="0" borderId="31" xfId="58" applyNumberFormat="1" applyFont="1" applyBorder="1" applyProtection="1">
      <alignment/>
      <protection locked="0"/>
    </xf>
    <xf numFmtId="173" fontId="3" fillId="0" borderId="35" xfId="58" applyNumberFormat="1" applyBorder="1">
      <alignment/>
      <protection/>
    </xf>
    <xf numFmtId="171" fontId="13" fillId="0" borderId="14" xfId="58" applyNumberFormat="1" applyFont="1" applyFill="1" applyBorder="1" applyAlignment="1" applyProtection="1">
      <alignment horizontal="right"/>
      <protection locked="0"/>
    </xf>
    <xf numFmtId="171" fontId="11" fillId="0" borderId="32" xfId="42" applyNumberFormat="1" applyFont="1" applyBorder="1" applyAlignment="1" applyProtection="1">
      <alignment/>
      <protection/>
    </xf>
    <xf numFmtId="171" fontId="3" fillId="0" borderId="26" xfId="58" applyNumberFormat="1" applyBorder="1" applyProtection="1">
      <alignment/>
      <protection/>
    </xf>
    <xf numFmtId="171" fontId="13" fillId="0" borderId="31" xfId="58" applyNumberFormat="1" applyFont="1" applyBorder="1" applyProtection="1">
      <alignment/>
      <protection locked="0"/>
    </xf>
    <xf numFmtId="171" fontId="3" fillId="0" borderId="27" xfId="58" applyNumberFormat="1" applyBorder="1">
      <alignment/>
      <protection/>
    </xf>
    <xf numFmtId="5" fontId="11" fillId="0" borderId="27" xfId="42" applyNumberFormat="1" applyFont="1" applyBorder="1" applyAlignment="1" applyProtection="1">
      <alignment/>
      <protection/>
    </xf>
    <xf numFmtId="5" fontId="11" fillId="0" borderId="0" xfId="42" applyNumberFormat="1" applyFont="1" applyBorder="1" applyAlignment="1" applyProtection="1">
      <alignment/>
      <protection/>
    </xf>
    <xf numFmtId="173" fontId="11" fillId="0" borderId="14" xfId="58" applyNumberFormat="1" applyFont="1" applyFill="1" applyBorder="1" applyProtection="1">
      <alignment/>
      <protection/>
    </xf>
    <xf numFmtId="173" fontId="13" fillId="0" borderId="14" xfId="58" applyNumberFormat="1" applyFont="1" applyFill="1" applyBorder="1" applyProtection="1">
      <alignment/>
      <protection/>
    </xf>
    <xf numFmtId="173" fontId="11" fillId="33" borderId="14" xfId="58" applyNumberFormat="1" applyFont="1" applyFill="1" applyBorder="1" applyProtection="1">
      <alignment/>
      <protection/>
    </xf>
    <xf numFmtId="173" fontId="13" fillId="0" borderId="27" xfId="58" applyNumberFormat="1" applyFont="1" applyBorder="1" applyProtection="1">
      <alignment/>
      <protection locked="0"/>
    </xf>
    <xf numFmtId="173" fontId="3" fillId="0" borderId="36" xfId="58" applyNumberFormat="1" applyBorder="1">
      <alignment/>
      <protection/>
    </xf>
    <xf numFmtId="171" fontId="5" fillId="0" borderId="24" xfId="58" applyNumberFormat="1" applyFont="1" applyBorder="1" applyProtection="1">
      <alignment/>
      <protection locked="0"/>
    </xf>
    <xf numFmtId="171" fontId="5" fillId="0" borderId="27" xfId="58" applyNumberFormat="1" applyFont="1" applyBorder="1" applyProtection="1">
      <alignment/>
      <protection locked="0"/>
    </xf>
    <xf numFmtId="171" fontId="5" fillId="0" borderId="33" xfId="58" applyNumberFormat="1" applyFont="1" applyBorder="1" applyProtection="1">
      <alignment/>
      <protection locked="0"/>
    </xf>
    <xf numFmtId="171" fontId="5" fillId="0" borderId="14" xfId="58" applyNumberFormat="1" applyFont="1" applyBorder="1" applyProtection="1">
      <alignment/>
      <protection locked="0"/>
    </xf>
    <xf numFmtId="171" fontId="5" fillId="0" borderId="32" xfId="58" applyNumberFormat="1" applyFont="1" applyBorder="1" applyProtection="1">
      <alignment/>
      <protection locked="0"/>
    </xf>
    <xf numFmtId="5" fontId="13" fillId="0" borderId="14" xfId="42" applyNumberFormat="1" applyFont="1" applyBorder="1" applyAlignment="1" applyProtection="1">
      <alignment/>
      <protection locked="0"/>
    </xf>
    <xf numFmtId="5" fontId="13" fillId="0" borderId="31" xfId="42" applyNumberFormat="1" applyFont="1" applyBorder="1" applyAlignment="1" applyProtection="1">
      <alignment/>
      <protection locked="0"/>
    </xf>
    <xf numFmtId="171" fontId="13" fillId="0" borderId="14" xfId="42" applyNumberFormat="1" applyFont="1" applyBorder="1" applyAlignment="1" applyProtection="1">
      <alignment/>
      <protection locked="0"/>
    </xf>
    <xf numFmtId="171" fontId="13" fillId="33" borderId="14" xfId="42" applyNumberFormat="1" applyFont="1" applyFill="1" applyBorder="1" applyAlignment="1" applyProtection="1">
      <alignment/>
      <protection/>
    </xf>
    <xf numFmtId="171" fontId="11" fillId="33" borderId="14" xfId="42" applyNumberFormat="1" applyFont="1" applyFill="1" applyBorder="1" applyAlignment="1" applyProtection="1">
      <alignment/>
      <protection/>
    </xf>
    <xf numFmtId="171" fontId="5" fillId="33" borderId="14" xfId="58" applyNumberFormat="1" applyFont="1" applyFill="1" applyBorder="1" applyProtection="1">
      <alignment/>
      <protection/>
    </xf>
    <xf numFmtId="171" fontId="5" fillId="33" borderId="0" xfId="58" applyNumberFormat="1" applyFont="1" applyFill="1" applyBorder="1" applyProtection="1">
      <alignment/>
      <protection/>
    </xf>
    <xf numFmtId="171" fontId="13" fillId="0" borderId="31" xfId="42" applyNumberFormat="1" applyFont="1" applyBorder="1" applyAlignment="1" applyProtection="1">
      <alignment/>
      <protection locked="0"/>
    </xf>
    <xf numFmtId="171" fontId="13" fillId="33" borderId="31" xfId="42" applyNumberFormat="1" applyFont="1" applyFill="1" applyBorder="1" applyAlignment="1" applyProtection="1">
      <alignment/>
      <protection/>
    </xf>
    <xf numFmtId="171" fontId="11" fillId="33" borderId="32" xfId="42" applyNumberFormat="1" applyFont="1" applyFill="1" applyBorder="1" applyAlignment="1" applyProtection="1">
      <alignment/>
      <protection/>
    </xf>
    <xf numFmtId="171" fontId="5" fillId="33" borderId="31" xfId="58" applyNumberFormat="1" applyFont="1" applyFill="1" applyBorder="1" applyProtection="1">
      <alignment/>
      <protection/>
    </xf>
    <xf numFmtId="171" fontId="11" fillId="33" borderId="31" xfId="42" applyNumberFormat="1" applyFont="1" applyFill="1" applyBorder="1" applyAlignment="1" applyProtection="1">
      <alignment/>
      <protection/>
    </xf>
    <xf numFmtId="171" fontId="5" fillId="33" borderId="20" xfId="58" applyNumberFormat="1" applyFont="1" applyFill="1" applyBorder="1" applyProtection="1">
      <alignment/>
      <protection/>
    </xf>
    <xf numFmtId="171" fontId="13" fillId="33" borderId="0" xfId="42" applyNumberFormat="1" applyFont="1" applyFill="1" applyBorder="1" applyAlignment="1" applyProtection="1">
      <alignment/>
      <protection/>
    </xf>
    <xf numFmtId="171" fontId="3" fillId="33" borderId="28" xfId="58" applyNumberFormat="1" applyFill="1" applyBorder="1">
      <alignment/>
      <protection/>
    </xf>
    <xf numFmtId="171" fontId="13" fillId="0" borderId="27" xfId="42" applyNumberFormat="1" applyFont="1" applyBorder="1" applyAlignment="1" applyProtection="1">
      <alignment/>
      <protection locked="0"/>
    </xf>
    <xf numFmtId="171" fontId="13" fillId="33" borderId="28" xfId="42" applyNumberFormat="1" applyFont="1" applyFill="1" applyBorder="1" applyAlignment="1" applyProtection="1">
      <alignment/>
      <protection/>
    </xf>
    <xf numFmtId="171" fontId="13" fillId="0" borderId="28" xfId="58" applyNumberFormat="1" applyFont="1" applyBorder="1" applyProtection="1">
      <alignment/>
      <protection locked="0"/>
    </xf>
    <xf numFmtId="171" fontId="3" fillId="44" borderId="24" xfId="58" applyNumberFormat="1" applyFill="1" applyBorder="1">
      <alignment/>
      <protection/>
    </xf>
    <xf numFmtId="171" fontId="3" fillId="33" borderId="0" xfId="58" applyNumberFormat="1" applyFill="1" applyBorder="1">
      <alignment/>
      <protection/>
    </xf>
    <xf numFmtId="171" fontId="13" fillId="0" borderId="0" xfId="58" applyNumberFormat="1" applyFont="1" applyBorder="1" applyProtection="1">
      <alignment/>
      <protection locked="0"/>
    </xf>
    <xf numFmtId="171" fontId="3" fillId="44" borderId="27" xfId="58" applyNumberFormat="1" applyFill="1" applyBorder="1">
      <alignment/>
      <protection/>
    </xf>
    <xf numFmtId="171" fontId="13" fillId="0" borderId="42" xfId="58" applyNumberFormat="1" applyFont="1" applyBorder="1" applyProtection="1">
      <alignment/>
      <protection locked="0"/>
    </xf>
    <xf numFmtId="171" fontId="3" fillId="44" borderId="33" xfId="58" applyNumberFormat="1" applyFill="1" applyBorder="1">
      <alignment/>
      <protection/>
    </xf>
    <xf numFmtId="171" fontId="3" fillId="33" borderId="20" xfId="58" applyNumberFormat="1" applyFill="1" applyBorder="1">
      <alignment/>
      <protection/>
    </xf>
    <xf numFmtId="171" fontId="13" fillId="0" borderId="20" xfId="58" applyNumberFormat="1" applyFont="1" applyBorder="1" applyProtection="1">
      <alignment/>
      <protection locked="0"/>
    </xf>
    <xf numFmtId="171" fontId="5" fillId="0" borderId="27" xfId="58" applyNumberFormat="1" applyFont="1" applyBorder="1" applyAlignment="1" applyProtection="1">
      <alignment/>
      <protection locked="0"/>
    </xf>
    <xf numFmtId="171" fontId="11" fillId="44" borderId="14" xfId="42" applyNumberFormat="1" applyFont="1" applyFill="1" applyBorder="1" applyAlignment="1" applyProtection="1">
      <alignment/>
      <protection/>
    </xf>
    <xf numFmtId="171" fontId="11" fillId="33" borderId="0" xfId="42" applyNumberFormat="1" applyFont="1" applyFill="1" applyBorder="1" applyAlignment="1" applyProtection="1">
      <alignment/>
      <protection/>
    </xf>
    <xf numFmtId="171" fontId="13" fillId="0" borderId="27" xfId="58" applyNumberFormat="1" applyFont="1" applyBorder="1" applyProtection="1">
      <alignment/>
      <protection locked="0"/>
    </xf>
    <xf numFmtId="171" fontId="5" fillId="0" borderId="27" xfId="58" applyNumberFormat="1" applyFont="1" applyBorder="1" applyAlignment="1" applyProtection="1">
      <alignment horizontal="right"/>
      <protection locked="0"/>
    </xf>
    <xf numFmtId="171" fontId="5" fillId="0" borderId="33" xfId="58" applyNumberFormat="1" applyFont="1" applyBorder="1" applyAlignment="1" applyProtection="1">
      <alignment/>
      <protection locked="0"/>
    </xf>
    <xf numFmtId="171" fontId="13" fillId="0" borderId="33" xfId="58" applyNumberFormat="1" applyFont="1" applyBorder="1" applyProtection="1">
      <alignment/>
      <protection locked="0"/>
    </xf>
    <xf numFmtId="171" fontId="3" fillId="33" borderId="42" xfId="58" applyNumberFormat="1" applyFill="1" applyBorder="1">
      <alignment/>
      <protection/>
    </xf>
    <xf numFmtId="164" fontId="12" fillId="0" borderId="0" xfId="58" applyNumberFormat="1" applyFont="1" applyFill="1" applyAlignment="1" applyProtection="1">
      <alignment horizontal="right"/>
      <protection/>
    </xf>
    <xf numFmtId="171" fontId="12" fillId="9" borderId="0" xfId="58" applyNumberFormat="1" applyFont="1" applyFill="1" applyAlignment="1" applyProtection="1">
      <alignment horizontal="center"/>
      <protection/>
    </xf>
    <xf numFmtId="171" fontId="12" fillId="9" borderId="0" xfId="58" applyNumberFormat="1" applyFont="1" applyFill="1" applyAlignment="1" applyProtection="1">
      <alignment horizontal="right"/>
      <protection/>
    </xf>
    <xf numFmtId="171" fontId="11" fillId="9" borderId="0" xfId="58" applyNumberFormat="1" applyFont="1" applyFill="1" applyBorder="1" applyAlignment="1" applyProtection="1">
      <alignment horizontal="center"/>
      <protection/>
    </xf>
    <xf numFmtId="171" fontId="12" fillId="9" borderId="0" xfId="58" applyNumberFormat="1" applyFont="1" applyFill="1" applyProtection="1">
      <alignment/>
      <protection/>
    </xf>
    <xf numFmtId="171" fontId="11" fillId="9" borderId="0" xfId="58" applyNumberFormat="1" applyFont="1" applyFill="1" applyAlignment="1" applyProtection="1">
      <alignment horizontal="center"/>
      <protection/>
    </xf>
    <xf numFmtId="171" fontId="3" fillId="9" borderId="0" xfId="58" applyNumberFormat="1" applyFill="1" applyAlignment="1">
      <alignment horizontal="center"/>
      <protection/>
    </xf>
    <xf numFmtId="164" fontId="4" fillId="9" borderId="0" xfId="58" applyFont="1" applyFill="1" applyAlignment="1" applyProtection="1">
      <alignment horizontal="right"/>
      <protection/>
    </xf>
    <xf numFmtId="171" fontId="4" fillId="9" borderId="0" xfId="58" applyNumberFormat="1" applyFont="1" applyFill="1" applyProtection="1">
      <alignment/>
      <protection/>
    </xf>
    <xf numFmtId="164" fontId="11" fillId="0" borderId="39" xfId="58" applyNumberFormat="1" applyFont="1" applyBorder="1" applyAlignment="1" applyProtection="1">
      <alignment horizontal="center"/>
      <protection/>
    </xf>
    <xf numFmtId="164" fontId="11" fillId="0" borderId="44" xfId="58" applyNumberFormat="1" applyFont="1" applyBorder="1" applyAlignment="1" applyProtection="1">
      <alignment horizontal="center"/>
      <protection/>
    </xf>
    <xf numFmtId="164" fontId="11" fillId="0" borderId="40" xfId="58" applyNumberFormat="1" applyFont="1" applyBorder="1" applyAlignment="1" applyProtection="1">
      <alignment horizontal="center"/>
      <protection/>
    </xf>
    <xf numFmtId="164" fontId="6" fillId="0" borderId="0" xfId="58" applyNumberFormat="1" applyFont="1" applyAlignment="1" applyProtection="1">
      <alignment horizontal="center"/>
      <protection/>
    </xf>
    <xf numFmtId="164" fontId="3" fillId="0" borderId="0" xfId="58" applyAlignment="1">
      <alignment horizontal="center"/>
      <protection/>
    </xf>
    <xf numFmtId="164" fontId="3" fillId="35" borderId="27" xfId="58" applyFill="1" applyBorder="1" applyAlignment="1" applyProtection="1">
      <alignment horizontal="center" wrapText="1"/>
      <protection/>
    </xf>
    <xf numFmtId="164" fontId="3" fillId="35" borderId="33" xfId="58" applyFill="1" applyBorder="1" applyAlignment="1" applyProtection="1">
      <alignment horizontal="center" wrapText="1"/>
      <protection/>
    </xf>
    <xf numFmtId="164" fontId="3" fillId="35" borderId="56" xfId="58" applyFill="1" applyBorder="1" applyAlignment="1" applyProtection="1">
      <alignment horizontal="center" wrapText="1"/>
      <protection/>
    </xf>
    <xf numFmtId="164" fontId="12" fillId="0" borderId="0" xfId="58" applyNumberFormat="1" applyFont="1" applyBorder="1" applyAlignment="1" applyProtection="1" quotePrefix="1">
      <alignment horizontal="left"/>
      <protection/>
    </xf>
    <xf numFmtId="164" fontId="3" fillId="0" borderId="0" xfId="58" applyAlignment="1">
      <alignment/>
      <protection/>
    </xf>
    <xf numFmtId="164" fontId="11" fillId="0" borderId="0" xfId="58" applyNumberFormat="1" applyFont="1" applyAlignment="1" applyProtection="1" quotePrefix="1">
      <alignment horizontal="left"/>
      <protection/>
    </xf>
    <xf numFmtId="164" fontId="3" fillId="0" borderId="36" xfId="58" applyBorder="1" applyAlignment="1">
      <alignment/>
      <protection/>
    </xf>
    <xf numFmtId="164" fontId="11" fillId="0" borderId="0" xfId="58" applyNumberFormat="1" applyFont="1" applyAlignment="1" applyProtection="1">
      <alignment horizontal="left"/>
      <protection/>
    </xf>
    <xf numFmtId="164" fontId="3" fillId="0" borderId="33" xfId="58" applyBorder="1" applyAlignment="1">
      <alignment horizontal="center" wrapText="1"/>
      <protection/>
    </xf>
    <xf numFmtId="164" fontId="4" fillId="35" borderId="56" xfId="58" applyFont="1" applyFill="1" applyBorder="1" applyAlignment="1" applyProtection="1">
      <alignment horizontal="center" wrapText="1"/>
      <protection/>
    </xf>
    <xf numFmtId="164" fontId="11" fillId="33" borderId="0" xfId="58" applyNumberFormat="1" applyFont="1" applyFill="1" applyAlignment="1" applyProtection="1">
      <alignment/>
      <protection/>
    </xf>
    <xf numFmtId="164" fontId="11" fillId="0" borderId="20" xfId="58" applyNumberFormat="1" applyFont="1" applyBorder="1" applyAlignment="1" applyProtection="1" quotePrefix="1">
      <alignment horizontal="left"/>
      <protection/>
    </xf>
    <xf numFmtId="164" fontId="3" fillId="0" borderId="20" xfId="58" applyBorder="1" applyAlignment="1">
      <alignment/>
      <protection/>
    </xf>
    <xf numFmtId="164" fontId="11" fillId="0" borderId="20" xfId="58" applyNumberFormat="1" applyFont="1" applyBorder="1" applyAlignment="1" applyProtection="1">
      <alignment horizontal="left"/>
      <protection/>
    </xf>
    <xf numFmtId="164" fontId="12" fillId="0" borderId="38" xfId="58" applyNumberFormat="1" applyFont="1" applyBorder="1" applyAlignment="1" applyProtection="1">
      <alignment horizontal="center"/>
      <protection/>
    </xf>
    <xf numFmtId="164" fontId="4" fillId="0" borderId="38" xfId="58" applyFont="1" applyBorder="1" applyAlignment="1">
      <alignment horizontal="center"/>
      <protection/>
    </xf>
    <xf numFmtId="164" fontId="3" fillId="0" borderId="0" xfId="58" applyBorder="1" applyAlignment="1">
      <alignment/>
      <protection/>
    </xf>
    <xf numFmtId="164" fontId="11" fillId="0" borderId="0" xfId="58" applyNumberFormat="1" applyFont="1" applyBorder="1" applyAlignment="1" applyProtection="1">
      <alignment horizontal="left"/>
      <protection/>
    </xf>
    <xf numFmtId="164" fontId="3" fillId="0" borderId="55" xfId="58" applyBorder="1" applyAlignment="1">
      <alignment horizontal="left"/>
      <protection/>
    </xf>
    <xf numFmtId="164" fontId="3" fillId="0" borderId="55" xfId="58" applyBorder="1" applyAlignment="1">
      <alignment/>
      <protection/>
    </xf>
    <xf numFmtId="164" fontId="3" fillId="0" borderId="57" xfId="58" applyBorder="1" applyAlignment="1">
      <alignment/>
      <protection/>
    </xf>
    <xf numFmtId="164" fontId="3" fillId="0" borderId="0" xfId="58" applyAlignment="1">
      <alignment horizontal="left"/>
      <protection/>
    </xf>
    <xf numFmtId="164" fontId="3" fillId="0" borderId="36" xfId="58" applyBorder="1" applyAlignment="1">
      <alignment horizontal="left"/>
      <protection/>
    </xf>
    <xf numFmtId="164" fontId="3" fillId="0" borderId="49" xfId="58" applyBorder="1" applyAlignment="1">
      <alignment/>
      <protection/>
    </xf>
    <xf numFmtId="164" fontId="3" fillId="0" borderId="0" xfId="58" applyAlignment="1" applyProtection="1">
      <alignment/>
      <protection/>
    </xf>
    <xf numFmtId="164" fontId="3" fillId="0" borderId="36" xfId="58" applyBorder="1" applyAlignment="1" applyProtection="1">
      <alignment/>
      <protection/>
    </xf>
    <xf numFmtId="164" fontId="3" fillId="35" borderId="56" xfId="58" applyFont="1" applyFill="1" applyBorder="1" applyAlignment="1" applyProtection="1">
      <alignment horizontal="center" wrapText="1"/>
      <protection/>
    </xf>
    <xf numFmtId="164" fontId="3" fillId="0" borderId="33" xfId="58" applyFont="1" applyBorder="1" applyAlignment="1">
      <alignment horizontal="center" wrapText="1"/>
      <protection/>
    </xf>
    <xf numFmtId="164" fontId="4" fillId="0" borderId="33" xfId="58" applyFont="1" applyBorder="1" applyAlignment="1">
      <alignment horizontal="center" wrapText="1"/>
      <protection/>
    </xf>
    <xf numFmtId="164" fontId="3" fillId="0" borderId="0" xfId="58" applyBorder="1" applyAlignment="1" applyProtection="1">
      <alignment/>
      <protection/>
    </xf>
    <xf numFmtId="164" fontId="3" fillId="0" borderId="20" xfId="58" applyBorder="1" applyAlignment="1" applyProtection="1">
      <alignment/>
      <protection/>
    </xf>
    <xf numFmtId="164" fontId="4" fillId="0" borderId="38" xfId="58" applyFont="1" applyBorder="1" applyAlignment="1" applyProtection="1">
      <alignment horizontal="center"/>
      <protection/>
    </xf>
    <xf numFmtId="164" fontId="3" fillId="0" borderId="55" xfId="58" applyBorder="1" applyAlignment="1" applyProtection="1">
      <alignment horizontal="left"/>
      <protection/>
    </xf>
    <xf numFmtId="164" fontId="3" fillId="0" borderId="55" xfId="58" applyBorder="1" applyAlignment="1" applyProtection="1">
      <alignment/>
      <protection/>
    </xf>
    <xf numFmtId="164" fontId="3" fillId="0" borderId="57" xfId="58" applyBorder="1" applyAlignment="1" applyProtection="1">
      <alignment/>
      <protection/>
    </xf>
    <xf numFmtId="164" fontId="3" fillId="0" borderId="0" xfId="58" applyAlignment="1" applyProtection="1">
      <alignment horizontal="left"/>
      <protection/>
    </xf>
    <xf numFmtId="164" fontId="3" fillId="0" borderId="36" xfId="58" applyBorder="1" applyAlignment="1" applyProtection="1">
      <alignment horizontal="left"/>
      <protection/>
    </xf>
    <xf numFmtId="164" fontId="3" fillId="0" borderId="49" xfId="58" applyBorder="1" applyAlignment="1" applyProtection="1">
      <alignment/>
      <protection/>
    </xf>
    <xf numFmtId="164" fontId="12" fillId="0" borderId="0" xfId="58" applyNumberFormat="1" applyFont="1" applyBorder="1" applyAlignment="1" applyProtection="1" quotePrefix="1">
      <alignment/>
      <protection/>
    </xf>
    <xf numFmtId="164" fontId="3" fillId="0" borderId="51" xfId="58" applyBorder="1" applyAlignment="1">
      <alignment/>
      <protection/>
    </xf>
    <xf numFmtId="164" fontId="6" fillId="0" borderId="0" xfId="0" applyNumberFormat="1" applyFont="1" applyBorder="1" applyAlignment="1" applyProtection="1">
      <alignment horizontal="left" wrapText="1"/>
      <protection/>
    </xf>
    <xf numFmtId="0" fontId="0" fillId="0" borderId="0" xfId="0" applyBorder="1" applyAlignment="1">
      <alignment wrapText="1"/>
    </xf>
    <xf numFmtId="164" fontId="19" fillId="0" borderId="0" xfId="0" applyNumberFormat="1" applyFont="1" applyBorder="1" applyAlignment="1" applyProtection="1">
      <alignment horizontal="left" wrapText="1"/>
      <protection/>
    </xf>
    <xf numFmtId="0" fontId="20" fillId="0" borderId="0" xfId="0" applyFont="1" applyAlignment="1">
      <alignment wrapText="1"/>
    </xf>
    <xf numFmtId="164" fontId="4" fillId="0" borderId="0" xfId="58" applyFont="1" applyAlignment="1">
      <alignment/>
      <protection/>
    </xf>
    <xf numFmtId="164" fontId="11" fillId="44" borderId="0" xfId="58" applyNumberFormat="1" applyFont="1" applyFill="1" applyAlignment="1" applyProtection="1">
      <alignment horizontal="left"/>
      <protection/>
    </xf>
    <xf numFmtId="164" fontId="3" fillId="44" borderId="0" xfId="58" applyFill="1" applyAlignment="1">
      <alignment/>
      <protection/>
    </xf>
    <xf numFmtId="164" fontId="11" fillId="44" borderId="0" xfId="58" applyNumberFormat="1" applyFont="1" applyFill="1" applyAlignment="1" applyProtection="1" quotePrefix="1">
      <alignment horizontal="left"/>
      <protection/>
    </xf>
    <xf numFmtId="164" fontId="21" fillId="44" borderId="20" xfId="58" applyNumberFormat="1" applyFont="1" applyFill="1" applyBorder="1" applyAlignment="1" applyProtection="1">
      <alignment horizontal="left"/>
      <protection/>
    </xf>
    <xf numFmtId="164" fontId="3" fillId="44" borderId="20" xfId="58" applyFill="1" applyBorder="1" applyAlignment="1">
      <alignment/>
      <protection/>
    </xf>
    <xf numFmtId="164" fontId="12" fillId="44" borderId="20" xfId="58" applyNumberFormat="1" applyFont="1" applyFill="1" applyBorder="1" applyAlignment="1" applyProtection="1" quotePrefix="1">
      <alignment horizontal="center"/>
      <protection/>
    </xf>
    <xf numFmtId="164" fontId="3" fillId="44" borderId="20" xfId="58" applyFill="1" applyBorder="1" applyAlignment="1">
      <alignment horizontal="center"/>
      <protection/>
    </xf>
    <xf numFmtId="164" fontId="11" fillId="34" borderId="20" xfId="58" applyNumberFormat="1" applyFont="1" applyFill="1" applyBorder="1" applyAlignment="1" applyProtection="1">
      <alignment/>
      <protection/>
    </xf>
    <xf numFmtId="164" fontId="3" fillId="34" borderId="20" xfId="58" applyFill="1" applyBorder="1" applyAlignment="1" applyProtection="1">
      <alignment/>
      <protection/>
    </xf>
    <xf numFmtId="164" fontId="12" fillId="44" borderId="22" xfId="58" applyNumberFormat="1" applyFont="1" applyFill="1" applyBorder="1" applyAlignment="1" applyProtection="1">
      <alignment horizontal="center"/>
      <protection/>
    </xf>
    <xf numFmtId="164" fontId="4" fillId="44" borderId="22" xfId="58" applyFont="1" applyFill="1" applyBorder="1" applyAlignment="1">
      <alignment horizontal="center"/>
      <protection/>
    </xf>
    <xf numFmtId="164" fontId="4" fillId="44" borderId="58" xfId="58" applyFont="1" applyFill="1" applyBorder="1" applyAlignment="1">
      <alignment horizontal="center"/>
      <protection/>
    </xf>
    <xf numFmtId="164" fontId="3" fillId="48" borderId="55" xfId="58" applyFont="1" applyFill="1" applyBorder="1" applyAlignment="1" applyProtection="1">
      <alignment/>
      <protection locked="0"/>
    </xf>
    <xf numFmtId="164" fontId="3" fillId="48" borderId="55" xfId="58" applyFill="1" applyBorder="1" applyAlignment="1" applyProtection="1">
      <alignment/>
      <protection locked="0"/>
    </xf>
    <xf numFmtId="164" fontId="3" fillId="44" borderId="58" xfId="58" applyFill="1" applyBorder="1" applyAlignment="1">
      <alignment horizontal="center"/>
      <protection/>
    </xf>
    <xf numFmtId="164" fontId="12" fillId="44" borderId="19" xfId="58" applyNumberFormat="1" applyFont="1" applyFill="1" applyBorder="1" applyAlignment="1" applyProtection="1">
      <alignment horizontal="right"/>
      <protection/>
    </xf>
    <xf numFmtId="164" fontId="4" fillId="44" borderId="19" xfId="58" applyFont="1" applyFill="1" applyBorder="1" applyAlignment="1">
      <alignment horizontal="right"/>
      <protection/>
    </xf>
    <xf numFmtId="164" fontId="11" fillId="34" borderId="20" xfId="58" applyNumberFormat="1" applyFont="1" applyFill="1" applyBorder="1" applyAlignment="1" applyProtection="1">
      <alignment/>
      <protection locked="0"/>
    </xf>
    <xf numFmtId="164" fontId="4" fillId="0" borderId="0" xfId="58" applyFont="1" applyAlignment="1">
      <alignment vertical="top" wrapText="1"/>
      <protection/>
    </xf>
    <xf numFmtId="0" fontId="0" fillId="0" borderId="0" xfId="0" applyAlignment="1">
      <alignment vertical="top" wrapText="1"/>
    </xf>
    <xf numFmtId="164" fontId="29" fillId="0" borderId="0" xfId="58" applyFont="1" applyAlignment="1">
      <alignment vertical="top" wrapText="1"/>
      <protection/>
    </xf>
    <xf numFmtId="164" fontId="12" fillId="0" borderId="0" xfId="58" applyNumberFormat="1" applyFont="1" applyAlignment="1" applyProtection="1">
      <alignment horizontal="left" vertical="top" wrapText="1"/>
      <protection/>
    </xf>
    <xf numFmtId="0" fontId="0" fillId="0" borderId="0" xfId="0" applyAlignment="1">
      <alignment horizontal="left" vertical="top" wrapText="1"/>
    </xf>
    <xf numFmtId="164" fontId="3" fillId="39" borderId="0" xfId="58" applyFont="1" applyFill="1" applyAlignment="1">
      <alignment horizontal="right"/>
      <protection/>
    </xf>
    <xf numFmtId="164" fontId="3" fillId="39" borderId="0" xfId="58" applyFill="1" applyAlignment="1">
      <alignment horizontal="right"/>
      <protection/>
    </xf>
    <xf numFmtId="164" fontId="3" fillId="0" borderId="0" xfId="58" applyAlignment="1">
      <alignment horizontal="right"/>
      <protection/>
    </xf>
    <xf numFmtId="164" fontId="11" fillId="39" borderId="0" xfId="58" applyNumberFormat="1" applyFont="1" applyFill="1" applyAlignment="1" applyProtection="1">
      <alignment horizontal="right"/>
      <protection/>
    </xf>
    <xf numFmtId="164" fontId="3" fillId="39" borderId="0" xfId="58" applyFill="1" applyAlignment="1" applyProtection="1">
      <alignment horizontal="right"/>
      <protection/>
    </xf>
    <xf numFmtId="164" fontId="21" fillId="0" borderId="0" xfId="58" applyNumberFormat="1" applyFont="1" applyAlignment="1" applyProtection="1">
      <alignment horizontal="left"/>
      <protection/>
    </xf>
    <xf numFmtId="164" fontId="29" fillId="0" borderId="0" xfId="58" applyFont="1" applyAlignment="1">
      <alignment/>
      <protection/>
    </xf>
    <xf numFmtId="164" fontId="3" fillId="0" borderId="0" xfId="58" applyAlignment="1" applyProtection="1">
      <alignment horizontal="right"/>
      <protection/>
    </xf>
    <xf numFmtId="164" fontId="4" fillId="35" borderId="39" xfId="58" applyFont="1" applyFill="1" applyBorder="1" applyAlignment="1">
      <alignment horizontal="center"/>
      <protection/>
    </xf>
    <xf numFmtId="164" fontId="3" fillId="0" borderId="44" xfId="58" applyBorder="1" applyAlignment="1">
      <alignment horizontal="center"/>
      <protection/>
    </xf>
    <xf numFmtId="164" fontId="3" fillId="0" borderId="40" xfId="58" applyBorder="1" applyAlignment="1">
      <alignment horizontal="center"/>
      <protection/>
    </xf>
    <xf numFmtId="164" fontId="12" fillId="41" borderId="31" xfId="58" applyNumberFormat="1" applyFont="1" applyFill="1" applyBorder="1" applyAlignment="1" applyProtection="1">
      <alignment horizontal="center"/>
      <protection/>
    </xf>
    <xf numFmtId="164" fontId="12" fillId="42" borderId="39" xfId="58" applyNumberFormat="1" applyFont="1" applyFill="1" applyBorder="1" applyAlignment="1" applyProtection="1">
      <alignment horizontal="center"/>
      <protection/>
    </xf>
    <xf numFmtId="164" fontId="3" fillId="0" borderId="44" xfId="58" applyBorder="1" applyAlignment="1">
      <alignment/>
      <protection/>
    </xf>
    <xf numFmtId="164" fontId="3" fillId="0" borderId="40" xfId="58" applyBorder="1" applyAlignment="1">
      <alignment/>
      <protection/>
    </xf>
    <xf numFmtId="164" fontId="11" fillId="0" borderId="0" xfId="58" applyNumberFormat="1" applyFont="1" applyAlignment="1" applyProtection="1">
      <alignment horizontal="right"/>
      <protection/>
    </xf>
    <xf numFmtId="164" fontId="11" fillId="39" borderId="0" xfId="58" applyNumberFormat="1" applyFont="1" applyFill="1" applyAlignment="1" applyProtection="1">
      <alignment/>
      <protection/>
    </xf>
    <xf numFmtId="164" fontId="3" fillId="39" borderId="0" xfId="58" applyFill="1" applyAlignment="1">
      <alignment/>
      <protection/>
    </xf>
    <xf numFmtId="164" fontId="6" fillId="42" borderId="0" xfId="58" applyNumberFormat="1" applyFont="1" applyFill="1" applyAlignment="1" applyProtection="1">
      <alignment horizontal="center"/>
      <protection/>
    </xf>
    <xf numFmtId="164" fontId="11" fillId="0" borderId="11" xfId="58" applyNumberFormat="1" applyFont="1" applyBorder="1" applyAlignment="1" applyProtection="1">
      <alignment horizontal="center" wrapText="1"/>
      <protection/>
    </xf>
    <xf numFmtId="164" fontId="11" fillId="0" borderId="14" xfId="58" applyNumberFormat="1" applyFont="1" applyBorder="1" applyAlignment="1" applyProtection="1">
      <alignment horizontal="center" wrapText="1"/>
      <protection/>
    </xf>
    <xf numFmtId="164" fontId="11" fillId="0" borderId="19" xfId="58" applyNumberFormat="1" applyFont="1" applyBorder="1" applyAlignment="1" applyProtection="1">
      <alignment horizontal="center" wrapText="1"/>
      <protection/>
    </xf>
    <xf numFmtId="164" fontId="11" fillId="0" borderId="0" xfId="58" applyNumberFormat="1" applyFont="1" applyBorder="1" applyAlignment="1" applyProtection="1">
      <alignment horizontal="center" wrapText="1"/>
      <protection/>
    </xf>
    <xf numFmtId="164" fontId="11" fillId="0" borderId="59" xfId="58" applyNumberFormat="1" applyFont="1" applyBorder="1" applyAlignment="1" applyProtection="1">
      <alignment horizontal="center" wrapText="1"/>
      <protection/>
    </xf>
    <xf numFmtId="164" fontId="11" fillId="0" borderId="60" xfId="58" applyNumberFormat="1" applyFont="1" applyBorder="1" applyAlignment="1" applyProtection="1">
      <alignment horizontal="center" wrapText="1"/>
      <protection/>
    </xf>
    <xf numFmtId="164" fontId="11" fillId="0" borderId="61" xfId="58" applyNumberFormat="1" applyFont="1" applyBorder="1" applyAlignment="1" applyProtection="1">
      <alignment horizontal="center" wrapText="1"/>
      <protection/>
    </xf>
    <xf numFmtId="164" fontId="11" fillId="0" borderId="24" xfId="58" applyFont="1" applyBorder="1" applyAlignment="1" applyProtection="1">
      <alignment horizontal="center"/>
      <protection/>
    </xf>
    <xf numFmtId="0" fontId="0" fillId="0" borderId="33" xfId="0" applyBorder="1" applyAlignment="1">
      <alignment horizontal="center"/>
    </xf>
    <xf numFmtId="164" fontId="11" fillId="0" borderId="55" xfId="58" applyNumberFormat="1" applyFont="1" applyBorder="1" applyAlignment="1" applyProtection="1">
      <alignment horizontal="center" wrapText="1"/>
      <protection/>
    </xf>
    <xf numFmtId="164" fontId="11" fillId="0" borderId="20" xfId="58" applyNumberFormat="1" applyFont="1" applyBorder="1" applyAlignment="1" applyProtection="1">
      <alignment horizontal="center" wrapText="1"/>
      <protection/>
    </xf>
    <xf numFmtId="164" fontId="11" fillId="0" borderId="62" xfId="58" applyNumberFormat="1" applyFont="1" applyBorder="1" applyAlignment="1" applyProtection="1">
      <alignment horizontal="center" wrapText="1"/>
      <protection/>
    </xf>
    <xf numFmtId="164" fontId="11" fillId="0" borderId="37" xfId="58" applyNumberFormat="1" applyFont="1" applyBorder="1" applyAlignment="1" applyProtection="1">
      <alignment horizontal="center" wrapText="1"/>
      <protection/>
    </xf>
    <xf numFmtId="164" fontId="34" fillId="42" borderId="0" xfId="58" applyFont="1" applyFill="1" applyAlignment="1" applyProtection="1">
      <alignment horizontal="center"/>
      <protection/>
    </xf>
    <xf numFmtId="164" fontId="11" fillId="0" borderId="24" xfId="58" applyNumberFormat="1" applyFont="1" applyFill="1" applyBorder="1" applyAlignment="1" applyProtection="1">
      <alignment horizontal="center" wrapText="1"/>
      <protection/>
    </xf>
    <xf numFmtId="164" fontId="11" fillId="0" borderId="27" xfId="58" applyNumberFormat="1" applyFont="1" applyFill="1" applyBorder="1" applyAlignment="1" applyProtection="1">
      <alignment horizontal="center" wrapText="1"/>
      <protection/>
    </xf>
    <xf numFmtId="164" fontId="3" fillId="33" borderId="20" xfId="58" applyFill="1" applyBorder="1" applyAlignment="1">
      <alignment horizontal="left"/>
      <protection/>
    </xf>
    <xf numFmtId="0" fontId="26" fillId="33" borderId="20" xfId="57" applyFont="1" applyFill="1" applyBorder="1" applyAlignment="1">
      <alignment horizontal="center"/>
      <protection/>
    </xf>
    <xf numFmtId="0" fontId="23" fillId="33" borderId="0" xfId="57" applyFont="1" applyFill="1" applyAlignment="1">
      <alignment wrapText="1"/>
      <protection/>
    </xf>
    <xf numFmtId="0" fontId="22" fillId="0" borderId="0" xfId="57" applyAlignment="1">
      <alignment wrapText="1"/>
      <protection/>
    </xf>
    <xf numFmtId="0" fontId="0" fillId="0" borderId="0" xfId="0" applyAlignment="1">
      <alignment wrapText="1"/>
    </xf>
    <xf numFmtId="164" fontId="3" fillId="33" borderId="44" xfId="58" applyFill="1" applyBorder="1" applyAlignment="1">
      <alignment horizontal="left"/>
      <protection/>
    </xf>
    <xf numFmtId="164" fontId="3" fillId="0" borderId="44" xfId="58" applyBorder="1" applyAlignment="1">
      <alignment horizontal="left"/>
      <protection/>
    </xf>
    <xf numFmtId="164" fontId="3" fillId="33" borderId="20" xfId="58" applyFill="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COP_Eastern Idaho Irrigated_05" xfId="57"/>
    <cellStyle name="Normal_Crop Lease Calculato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2</xdr:col>
      <xdr:colOff>257175</xdr:colOff>
      <xdr:row>0</xdr:row>
      <xdr:rowOff>0</xdr:rowOff>
    </xdr:to>
    <xdr:sp macro="[1]!PrintAll">
      <xdr:nvSpPr>
        <xdr:cNvPr id="1" name="Text Box 1"/>
        <xdr:cNvSpPr txBox="1">
          <a:spLocks noChangeArrowheads="1"/>
        </xdr:cNvSpPr>
      </xdr:nvSpPr>
      <xdr:spPr>
        <a:xfrm>
          <a:off x="390525" y="0"/>
          <a:ext cx="1685925" cy="0"/>
        </a:xfrm>
        <a:prstGeom prst="rect">
          <a:avLst/>
        </a:prstGeom>
        <a:solidFill>
          <a:srgbClr val="99CCFF"/>
        </a:solidFill>
        <a:ln w="19050"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rPr>
            <a:t>Print All Input and Results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52</xdr:row>
      <xdr:rowOff>0</xdr:rowOff>
    </xdr:from>
    <xdr:to>
      <xdr:col>3</xdr:col>
      <xdr:colOff>0</xdr:colOff>
      <xdr:row>52</xdr:row>
      <xdr:rowOff>0</xdr:rowOff>
    </xdr:to>
    <xdr:sp>
      <xdr:nvSpPr>
        <xdr:cNvPr id="1" name="Rectangle 2"/>
        <xdr:cNvSpPr>
          <a:spLocks/>
        </xdr:cNvSpPr>
      </xdr:nvSpPr>
      <xdr:spPr>
        <a:xfrm>
          <a:off x="4695825" y="105251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52</xdr:row>
      <xdr:rowOff>0</xdr:rowOff>
    </xdr:from>
    <xdr:to>
      <xdr:col>3</xdr:col>
      <xdr:colOff>0</xdr:colOff>
      <xdr:row>52</xdr:row>
      <xdr:rowOff>0</xdr:rowOff>
    </xdr:to>
    <xdr:sp>
      <xdr:nvSpPr>
        <xdr:cNvPr id="2" name="Line 3"/>
        <xdr:cNvSpPr>
          <a:spLocks/>
        </xdr:cNvSpPr>
      </xdr:nvSpPr>
      <xdr:spPr>
        <a:xfrm>
          <a:off x="4695825" y="1052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962025</xdr:colOff>
      <xdr:row>134</xdr:row>
      <xdr:rowOff>0</xdr:rowOff>
    </xdr:from>
    <xdr:to>
      <xdr:col>6</xdr:col>
      <xdr:colOff>371475</xdr:colOff>
      <xdr:row>136</xdr:row>
      <xdr:rowOff>123825</xdr:rowOff>
    </xdr:to>
    <xdr:sp>
      <xdr:nvSpPr>
        <xdr:cNvPr id="1" name="Rectangle 13"/>
        <xdr:cNvSpPr>
          <a:spLocks/>
        </xdr:cNvSpPr>
      </xdr:nvSpPr>
      <xdr:spPr>
        <a:xfrm>
          <a:off x="962025" y="27108150"/>
          <a:ext cx="6619875" cy="523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cals.uidaho.edu/idahoagbiz/files/2012/09/Crop%20Lease%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rops"/>
      <sheetName val="Crop#1"/>
      <sheetName val="Crop#2"/>
      <sheetName val="Crop#3"/>
      <sheetName val="Crop#4"/>
      <sheetName val="Crop#5"/>
      <sheetName val="Crop#6"/>
      <sheetName val="Ownership Instructions"/>
      <sheetName val="Ownership"/>
      <sheetName val="Mach_Input"/>
      <sheetName val="Mach_Output"/>
      <sheetName val="Crop Share"/>
      <sheetName val="Cash Lease"/>
      <sheetName val="Flex Cash Leases"/>
      <sheetName val="Crop Lease Calculator"/>
    </sheetNames>
    <definedNames>
      <definedName name="PrintAll"/>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1" sqref="A1"/>
    </sheetView>
  </sheetViews>
  <sheetFormatPr defaultColWidth="9.00390625" defaultRowHeight="14.25"/>
  <cols>
    <col min="1" max="1" width="121.375" style="1" customWidth="1"/>
    <col min="2" max="16384" width="9.00390625" style="1" customWidth="1"/>
  </cols>
  <sheetData>
    <row r="1" ht="15">
      <c r="A1" s="481" t="s">
        <v>289</v>
      </c>
    </row>
    <row r="2" ht="6" customHeight="1">
      <c r="A2" s="482"/>
    </row>
    <row r="3" ht="107.25" customHeight="1">
      <c r="A3" s="483" t="s">
        <v>26</v>
      </c>
    </row>
    <row r="4" ht="9" customHeight="1">
      <c r="A4" s="484"/>
    </row>
    <row r="5" ht="74.25" customHeight="1">
      <c r="A5" s="483" t="s">
        <v>271</v>
      </c>
    </row>
    <row r="6" ht="6" customHeight="1">
      <c r="A6" s="482"/>
    </row>
    <row r="7" ht="114.75" customHeight="1">
      <c r="A7" s="485" t="s">
        <v>272</v>
      </c>
    </row>
    <row r="8" ht="7.5" customHeight="1">
      <c r="A8" s="486"/>
    </row>
    <row r="9" ht="141" customHeight="1">
      <c r="A9" s="485" t="s">
        <v>265</v>
      </c>
    </row>
    <row r="10" ht="3.75" customHeight="1">
      <c r="A10" s="482"/>
    </row>
    <row r="11" ht="105" customHeight="1">
      <c r="A11" s="485" t="s">
        <v>273</v>
      </c>
    </row>
    <row r="12" ht="15">
      <c r="A12" s="487"/>
    </row>
    <row r="13" ht="46.5" customHeight="1">
      <c r="A13" s="488" t="s">
        <v>264</v>
      </c>
    </row>
    <row r="14" ht="15">
      <c r="A14" s="487"/>
    </row>
  </sheetData>
  <sheetProtection sheet="1" objects="1" scenario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Y442"/>
  <sheetViews>
    <sheetView showGridLines="0" zoomScale="75" zoomScaleNormal="75"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2" sqref="A2:D2"/>
    </sheetView>
  </sheetViews>
  <sheetFormatPr defaultColWidth="9.75390625" defaultRowHeight="14.25"/>
  <cols>
    <col min="1" max="1" width="12.125" style="1" customWidth="1"/>
    <col min="2" max="2" width="11.75390625" style="1" customWidth="1"/>
    <col min="3" max="3" width="10.75390625" style="1" customWidth="1"/>
    <col min="4" max="4" width="8.75390625" style="141" customWidth="1"/>
    <col min="5" max="6" width="13.625" style="1" customWidth="1"/>
    <col min="7" max="7" width="1.75390625" style="1" customWidth="1"/>
    <col min="8" max="8" width="13.75390625" style="1" customWidth="1"/>
    <col min="9" max="9" width="13.625" style="1" customWidth="1"/>
    <col min="10" max="10" width="2.125" style="1" customWidth="1"/>
    <col min="11" max="11" width="12.875" style="1" customWidth="1"/>
    <col min="12" max="12" width="13.00390625" style="1" customWidth="1"/>
    <col min="13" max="13" width="2.50390625" style="1" customWidth="1"/>
    <col min="14" max="15" width="13.125" style="1" customWidth="1"/>
    <col min="16" max="16" width="2.25390625" style="1" customWidth="1"/>
    <col min="17" max="17" width="13.125" style="1" customWidth="1"/>
    <col min="18" max="18" width="12.875" style="1" customWidth="1"/>
    <col min="19" max="19" width="2.375" style="1" customWidth="1"/>
    <col min="20" max="21" width="12.875" style="1" customWidth="1"/>
    <col min="22" max="22" width="2.625" style="1" customWidth="1"/>
    <col min="23" max="23" width="12.625" style="1" customWidth="1"/>
    <col min="24" max="24" width="12.75390625" style="1" customWidth="1"/>
    <col min="25" max="16384" width="9.75390625" style="1" customWidth="1"/>
  </cols>
  <sheetData>
    <row r="1" spans="1:25" ht="30" customHeight="1">
      <c r="A1" s="155"/>
      <c r="B1" s="156"/>
      <c r="C1" s="156"/>
      <c r="D1" s="157"/>
      <c r="E1" s="158"/>
      <c r="F1" s="156"/>
      <c r="G1" s="156"/>
      <c r="H1" s="159" t="s">
        <v>70</v>
      </c>
      <c r="I1" s="160" t="str">
        <f>Crops!B10</f>
        <v>Potatoes: No-Storage</v>
      </c>
      <c r="J1" s="161"/>
      <c r="K1" s="159" t="s">
        <v>71</v>
      </c>
      <c r="L1" s="160" t="str">
        <f>Crops!C10</f>
        <v>Hard Red Spring Wheat</v>
      </c>
      <c r="M1" s="161"/>
      <c r="N1" s="159" t="s">
        <v>72</v>
      </c>
      <c r="O1" s="160" t="str">
        <f>Crops!D10</f>
        <v>Soft White Winter Wheat</v>
      </c>
      <c r="P1" s="161"/>
      <c r="Q1" s="159" t="s">
        <v>73</v>
      </c>
      <c r="R1" s="160" t="str">
        <f>Crops!E10</f>
        <v>Malting Barley</v>
      </c>
      <c r="S1" s="161"/>
      <c r="T1" s="159" t="s">
        <v>74</v>
      </c>
      <c r="U1" s="160" t="str">
        <f>Crops!F10</f>
        <v>Field Corn </v>
      </c>
      <c r="V1" s="161"/>
      <c r="W1" s="159" t="s">
        <v>75</v>
      </c>
      <c r="X1" s="160" t="str">
        <f>Crops!G10</f>
        <v>Sugarbeets</v>
      </c>
      <c r="Y1" s="3"/>
    </row>
    <row r="2" spans="1:25" ht="15" customHeight="1">
      <c r="A2" s="755" t="s">
        <v>76</v>
      </c>
      <c r="B2" s="756"/>
      <c r="C2" s="756"/>
      <c r="D2" s="756"/>
      <c r="E2" s="544" t="s">
        <v>77</v>
      </c>
      <c r="F2" s="545" t="s">
        <v>77</v>
      </c>
      <c r="G2" s="545"/>
      <c r="H2" s="544" t="s">
        <v>78</v>
      </c>
      <c r="I2" s="546" t="s">
        <v>78</v>
      </c>
      <c r="J2" s="546"/>
      <c r="K2" s="544" t="s">
        <v>78</v>
      </c>
      <c r="L2" s="546" t="s">
        <v>78</v>
      </c>
      <c r="M2" s="546"/>
      <c r="N2" s="544" t="s">
        <v>78</v>
      </c>
      <c r="O2" s="546" t="s">
        <v>78</v>
      </c>
      <c r="P2" s="546"/>
      <c r="Q2" s="544" t="s">
        <v>78</v>
      </c>
      <c r="R2" s="546" t="s">
        <v>78</v>
      </c>
      <c r="S2" s="546"/>
      <c r="T2" s="544" t="s">
        <v>78</v>
      </c>
      <c r="U2" s="546" t="s">
        <v>78</v>
      </c>
      <c r="V2" s="546"/>
      <c r="W2" s="544" t="s">
        <v>78</v>
      </c>
      <c r="X2" s="546" t="s">
        <v>78</v>
      </c>
      <c r="Y2" s="3"/>
    </row>
    <row r="3" spans="1:25" ht="15.75">
      <c r="A3" s="547" t="s">
        <v>79</v>
      </c>
      <c r="B3" s="548"/>
      <c r="C3" s="548"/>
      <c r="D3" s="545" t="s">
        <v>80</v>
      </c>
      <c r="E3" s="549" t="s">
        <v>81</v>
      </c>
      <c r="F3" s="550" t="s">
        <v>80</v>
      </c>
      <c r="G3" s="550"/>
      <c r="H3" s="549" t="s">
        <v>81</v>
      </c>
      <c r="I3" s="551" t="s">
        <v>80</v>
      </c>
      <c r="J3" s="551"/>
      <c r="K3" s="549" t="s">
        <v>81</v>
      </c>
      <c r="L3" s="551" t="s">
        <v>80</v>
      </c>
      <c r="M3" s="551"/>
      <c r="N3" s="549" t="s">
        <v>81</v>
      </c>
      <c r="O3" s="551" t="s">
        <v>80</v>
      </c>
      <c r="P3" s="551"/>
      <c r="Q3" s="549" t="s">
        <v>81</v>
      </c>
      <c r="R3" s="551" t="s">
        <v>80</v>
      </c>
      <c r="S3" s="551"/>
      <c r="T3" s="549" t="s">
        <v>81</v>
      </c>
      <c r="U3" s="551" t="s">
        <v>80</v>
      </c>
      <c r="V3" s="551"/>
      <c r="W3" s="549" t="s">
        <v>81</v>
      </c>
      <c r="X3" s="551" t="s">
        <v>80</v>
      </c>
      <c r="Y3" s="3"/>
    </row>
    <row r="4" spans="1:25" ht="15.75">
      <c r="A4" s="753" t="s">
        <v>82</v>
      </c>
      <c r="B4" s="754"/>
      <c r="C4" s="754"/>
      <c r="D4" s="552" t="s">
        <v>83</v>
      </c>
      <c r="E4" s="553" t="s">
        <v>84</v>
      </c>
      <c r="F4" s="554" t="s">
        <v>81</v>
      </c>
      <c r="G4" s="554"/>
      <c r="H4" s="553" t="s">
        <v>32</v>
      </c>
      <c r="I4" s="553" t="s">
        <v>81</v>
      </c>
      <c r="J4" s="553"/>
      <c r="K4" s="553" t="s">
        <v>32</v>
      </c>
      <c r="L4" s="553" t="s">
        <v>81</v>
      </c>
      <c r="M4" s="553"/>
      <c r="N4" s="553" t="s">
        <v>32</v>
      </c>
      <c r="O4" s="553" t="s">
        <v>81</v>
      </c>
      <c r="P4" s="553"/>
      <c r="Q4" s="553" t="s">
        <v>32</v>
      </c>
      <c r="R4" s="553" t="s">
        <v>81</v>
      </c>
      <c r="S4" s="553"/>
      <c r="T4" s="553" t="s">
        <v>32</v>
      </c>
      <c r="U4" s="553" t="s">
        <v>81</v>
      </c>
      <c r="V4" s="553"/>
      <c r="W4" s="553" t="s">
        <v>32</v>
      </c>
      <c r="X4" s="553" t="s">
        <v>81</v>
      </c>
      <c r="Y4" s="3"/>
    </row>
    <row r="5" spans="1:25" ht="15.75">
      <c r="A5" s="555" t="s">
        <v>85</v>
      </c>
      <c r="B5" s="556"/>
      <c r="C5" s="556"/>
      <c r="D5" s="520">
        <v>0.06</v>
      </c>
      <c r="E5" s="683">
        <v>1900</v>
      </c>
      <c r="F5" s="684">
        <f aca="true" t="shared" si="0" ref="F5:F11">E5*D5</f>
        <v>114</v>
      </c>
      <c r="G5" s="685"/>
      <c r="H5" s="686">
        <v>0</v>
      </c>
      <c r="I5" s="675">
        <f aca="true" t="shared" si="1" ref="I5:I11">H5*D5</f>
        <v>0</v>
      </c>
      <c r="J5" s="671"/>
      <c r="K5" s="674">
        <v>0</v>
      </c>
      <c r="L5" s="675">
        <f aca="true" t="shared" si="2" ref="L5:L11">K5*D5</f>
        <v>0</v>
      </c>
      <c r="M5" s="163"/>
      <c r="N5" s="674">
        <v>0</v>
      </c>
      <c r="O5" s="675">
        <f aca="true" t="shared" si="3" ref="O5:O11">N5*D5</f>
        <v>0</v>
      </c>
      <c r="P5" s="671"/>
      <c r="Q5" s="674">
        <v>0</v>
      </c>
      <c r="R5" s="675">
        <f aca="true" t="shared" si="4" ref="R5:R11">Q5*D5</f>
        <v>0</v>
      </c>
      <c r="S5" s="676"/>
      <c r="T5" s="677">
        <v>0</v>
      </c>
      <c r="U5" s="675">
        <f aca="true" t="shared" si="5" ref="U5:U11">T5*D5</f>
        <v>0</v>
      </c>
      <c r="V5" s="676"/>
      <c r="W5" s="677">
        <v>0</v>
      </c>
      <c r="X5" s="675">
        <f aca="true" t="shared" si="6" ref="X5:X11">W5*D5</f>
        <v>0</v>
      </c>
      <c r="Y5" s="3"/>
    </row>
    <row r="6" spans="1:25" ht="15.75">
      <c r="A6" s="750" t="s">
        <v>86</v>
      </c>
      <c r="B6" s="751"/>
      <c r="C6" s="556"/>
      <c r="D6" s="520">
        <v>0.08</v>
      </c>
      <c r="E6" s="687">
        <v>100</v>
      </c>
      <c r="F6" s="684">
        <f t="shared" si="0"/>
        <v>8</v>
      </c>
      <c r="G6" s="685"/>
      <c r="H6" s="686">
        <v>0</v>
      </c>
      <c r="I6" s="678">
        <f t="shared" si="1"/>
        <v>0</v>
      </c>
      <c r="J6" s="671"/>
      <c r="K6" s="674">
        <v>0</v>
      </c>
      <c r="L6" s="678">
        <f t="shared" si="2"/>
        <v>0</v>
      </c>
      <c r="M6" s="163"/>
      <c r="N6" s="674">
        <v>0</v>
      </c>
      <c r="O6" s="678">
        <f t="shared" si="3"/>
        <v>0</v>
      </c>
      <c r="P6" s="671"/>
      <c r="Q6" s="674">
        <v>0</v>
      </c>
      <c r="R6" s="678">
        <f t="shared" si="4"/>
        <v>0</v>
      </c>
      <c r="S6" s="676"/>
      <c r="T6" s="677">
        <v>0</v>
      </c>
      <c r="U6" s="678">
        <f t="shared" si="5"/>
        <v>0</v>
      </c>
      <c r="V6" s="676"/>
      <c r="W6" s="677">
        <v>0</v>
      </c>
      <c r="X6" s="678">
        <f t="shared" si="6"/>
        <v>0</v>
      </c>
      <c r="Y6" s="3"/>
    </row>
    <row r="7" spans="1:25" ht="15.75">
      <c r="A7" s="752" t="s">
        <v>87</v>
      </c>
      <c r="B7" s="751"/>
      <c r="C7" s="556"/>
      <c r="D7" s="520">
        <v>0.08</v>
      </c>
      <c r="E7" s="683">
        <v>400</v>
      </c>
      <c r="F7" s="684">
        <f t="shared" si="0"/>
        <v>32</v>
      </c>
      <c r="G7" s="685"/>
      <c r="H7" s="686">
        <v>0</v>
      </c>
      <c r="I7" s="678">
        <f t="shared" si="1"/>
        <v>0</v>
      </c>
      <c r="J7" s="671"/>
      <c r="K7" s="674">
        <v>0</v>
      </c>
      <c r="L7" s="678">
        <f t="shared" si="2"/>
        <v>0</v>
      </c>
      <c r="M7" s="163"/>
      <c r="N7" s="674">
        <v>0</v>
      </c>
      <c r="O7" s="678">
        <f t="shared" si="3"/>
        <v>0</v>
      </c>
      <c r="P7" s="671"/>
      <c r="Q7" s="674">
        <v>0</v>
      </c>
      <c r="R7" s="678">
        <f t="shared" si="4"/>
        <v>0</v>
      </c>
      <c r="S7" s="676"/>
      <c r="T7" s="677">
        <v>0</v>
      </c>
      <c r="U7" s="678">
        <f t="shared" si="5"/>
        <v>0</v>
      </c>
      <c r="V7" s="676"/>
      <c r="W7" s="677">
        <v>0</v>
      </c>
      <c r="X7" s="678">
        <f t="shared" si="6"/>
        <v>0</v>
      </c>
      <c r="Y7" s="3"/>
    </row>
    <row r="8" spans="1:25" ht="15" customHeight="1">
      <c r="A8" s="752" t="s">
        <v>88</v>
      </c>
      <c r="B8" s="751"/>
      <c r="C8" s="556"/>
      <c r="D8" s="520">
        <v>0.08</v>
      </c>
      <c r="E8" s="683">
        <v>0</v>
      </c>
      <c r="F8" s="684">
        <f t="shared" si="0"/>
        <v>0</v>
      </c>
      <c r="G8" s="685"/>
      <c r="H8" s="686">
        <v>0</v>
      </c>
      <c r="I8" s="678">
        <f t="shared" si="1"/>
        <v>0</v>
      </c>
      <c r="J8" s="671"/>
      <c r="K8" s="674">
        <v>0</v>
      </c>
      <c r="L8" s="678">
        <f t="shared" si="2"/>
        <v>0</v>
      </c>
      <c r="M8" s="163"/>
      <c r="N8" s="674">
        <v>0</v>
      </c>
      <c r="O8" s="678">
        <f t="shared" si="3"/>
        <v>0</v>
      </c>
      <c r="P8" s="671"/>
      <c r="Q8" s="674">
        <v>0</v>
      </c>
      <c r="R8" s="678">
        <f t="shared" si="4"/>
        <v>0</v>
      </c>
      <c r="S8" s="676"/>
      <c r="T8" s="677">
        <v>0</v>
      </c>
      <c r="U8" s="678">
        <f t="shared" si="5"/>
        <v>0</v>
      </c>
      <c r="V8" s="676"/>
      <c r="W8" s="677">
        <v>0</v>
      </c>
      <c r="X8" s="678">
        <f t="shared" si="6"/>
        <v>0</v>
      </c>
      <c r="Y8" s="3"/>
    </row>
    <row r="9" spans="1:25" ht="15.75">
      <c r="A9" s="752" t="s">
        <v>89</v>
      </c>
      <c r="B9" s="751"/>
      <c r="C9" s="556"/>
      <c r="D9" s="520">
        <v>0.08</v>
      </c>
      <c r="E9" s="683">
        <v>0</v>
      </c>
      <c r="F9" s="684">
        <f t="shared" si="0"/>
        <v>0</v>
      </c>
      <c r="G9" s="685"/>
      <c r="H9" s="686">
        <v>0</v>
      </c>
      <c r="I9" s="678">
        <f t="shared" si="1"/>
        <v>0</v>
      </c>
      <c r="J9" s="671"/>
      <c r="K9" s="674">
        <v>0</v>
      </c>
      <c r="L9" s="678">
        <f t="shared" si="2"/>
        <v>0</v>
      </c>
      <c r="M9" s="163"/>
      <c r="N9" s="674">
        <v>0</v>
      </c>
      <c r="O9" s="678">
        <f t="shared" si="3"/>
        <v>0</v>
      </c>
      <c r="P9" s="671"/>
      <c r="Q9" s="674">
        <v>0</v>
      </c>
      <c r="R9" s="678">
        <f t="shared" si="4"/>
        <v>0</v>
      </c>
      <c r="S9" s="676"/>
      <c r="T9" s="677">
        <v>0</v>
      </c>
      <c r="U9" s="678">
        <f t="shared" si="5"/>
        <v>0</v>
      </c>
      <c r="V9" s="676"/>
      <c r="W9" s="677">
        <v>0</v>
      </c>
      <c r="X9" s="678">
        <f t="shared" si="6"/>
        <v>0</v>
      </c>
      <c r="Y9" s="3"/>
    </row>
    <row r="10" spans="1:25" ht="15.75">
      <c r="A10" s="752" t="s">
        <v>90</v>
      </c>
      <c r="B10" s="751"/>
      <c r="C10" s="556"/>
      <c r="D10" s="520">
        <v>0.08</v>
      </c>
      <c r="E10" s="683">
        <v>0</v>
      </c>
      <c r="F10" s="684">
        <f t="shared" si="0"/>
        <v>0</v>
      </c>
      <c r="G10" s="685"/>
      <c r="H10" s="686">
        <v>775</v>
      </c>
      <c r="I10" s="678">
        <f t="shared" si="1"/>
        <v>62</v>
      </c>
      <c r="J10" s="671"/>
      <c r="K10" s="674">
        <v>205</v>
      </c>
      <c r="L10" s="678">
        <f t="shared" si="2"/>
        <v>16.4</v>
      </c>
      <c r="M10" s="163"/>
      <c r="N10" s="674">
        <v>195</v>
      </c>
      <c r="O10" s="678">
        <f t="shared" si="3"/>
        <v>15.6</v>
      </c>
      <c r="P10" s="671"/>
      <c r="Q10" s="674">
        <v>400</v>
      </c>
      <c r="R10" s="678">
        <f t="shared" si="4"/>
        <v>32</v>
      </c>
      <c r="S10" s="676"/>
      <c r="T10" s="677">
        <v>400</v>
      </c>
      <c r="U10" s="678">
        <f t="shared" si="5"/>
        <v>32</v>
      </c>
      <c r="V10" s="676"/>
      <c r="W10" s="677">
        <v>1000</v>
      </c>
      <c r="X10" s="678">
        <f t="shared" si="6"/>
        <v>80</v>
      </c>
      <c r="Y10" s="3"/>
    </row>
    <row r="11" spans="1:25" ht="15.75">
      <c r="A11" s="557" t="s">
        <v>91</v>
      </c>
      <c r="B11" s="762" t="s">
        <v>276</v>
      </c>
      <c r="C11" s="763"/>
      <c r="D11" s="520">
        <v>0.08</v>
      </c>
      <c r="E11" s="688">
        <v>0</v>
      </c>
      <c r="F11" s="684">
        <f t="shared" si="0"/>
        <v>0</v>
      </c>
      <c r="G11" s="685"/>
      <c r="H11" s="689">
        <v>0</v>
      </c>
      <c r="I11" s="680">
        <f t="shared" si="1"/>
        <v>0</v>
      </c>
      <c r="J11" s="690"/>
      <c r="K11" s="679">
        <v>0</v>
      </c>
      <c r="L11" s="680">
        <f t="shared" si="2"/>
        <v>0</v>
      </c>
      <c r="M11" s="164"/>
      <c r="N11" s="679">
        <v>0</v>
      </c>
      <c r="O11" s="678">
        <f t="shared" si="3"/>
        <v>0</v>
      </c>
      <c r="P11" s="671"/>
      <c r="Q11" s="679">
        <v>0</v>
      </c>
      <c r="R11" s="680">
        <f t="shared" si="4"/>
        <v>0</v>
      </c>
      <c r="S11" s="681"/>
      <c r="T11" s="682">
        <v>0</v>
      </c>
      <c r="U11" s="680">
        <f t="shared" si="5"/>
        <v>0</v>
      </c>
      <c r="V11" s="681"/>
      <c r="W11" s="682">
        <v>400</v>
      </c>
      <c r="X11" s="680">
        <f t="shared" si="6"/>
        <v>32</v>
      </c>
      <c r="Y11" s="3"/>
    </row>
    <row r="12" spans="1:25" ht="15.75">
      <c r="A12" s="765" t="s">
        <v>92</v>
      </c>
      <c r="B12" s="766"/>
      <c r="C12" s="766"/>
      <c r="D12" s="766"/>
      <c r="E12" s="526"/>
      <c r="F12" s="527">
        <f>SUM(F5:F11)</f>
        <v>154</v>
      </c>
      <c r="G12" s="165"/>
      <c r="H12" s="523">
        <f>SUM(H5:H11)</f>
        <v>775</v>
      </c>
      <c r="I12" s="523">
        <f>SUM(I5:I11)</f>
        <v>62</v>
      </c>
      <c r="J12" s="523"/>
      <c r="K12" s="523">
        <f>SUM(K5:K11)</f>
        <v>205</v>
      </c>
      <c r="L12" s="524">
        <f>SUM(L5:L11)</f>
        <v>16.4</v>
      </c>
      <c r="M12" s="525"/>
      <c r="N12" s="523">
        <f>SUM(N5:N11)</f>
        <v>195</v>
      </c>
      <c r="O12" s="524">
        <f>SUM(O5:O11)</f>
        <v>15.6</v>
      </c>
      <c r="P12" s="525"/>
      <c r="Q12" s="523">
        <f>SUM(Q5:Q11)</f>
        <v>400</v>
      </c>
      <c r="R12" s="524">
        <f>SUM(R5:R11)</f>
        <v>32</v>
      </c>
      <c r="S12" s="525"/>
      <c r="T12" s="523">
        <f>SUM(T5:T11)</f>
        <v>400</v>
      </c>
      <c r="U12" s="524">
        <f>SUM(U5:U11)</f>
        <v>32</v>
      </c>
      <c r="V12" s="525"/>
      <c r="W12" s="523">
        <f>SUM(W5:W11)</f>
        <v>1400</v>
      </c>
      <c r="X12" s="524">
        <f>SUM(X5:X11)</f>
        <v>112</v>
      </c>
      <c r="Y12" s="3"/>
    </row>
    <row r="13" spans="1:25" ht="15.75">
      <c r="A13" s="166"/>
      <c r="B13" s="167"/>
      <c r="C13" s="167"/>
      <c r="D13" s="167"/>
      <c r="E13" s="167"/>
      <c r="F13" s="165"/>
      <c r="G13" s="165"/>
      <c r="H13" s="165"/>
      <c r="I13" s="67"/>
      <c r="J13" s="67"/>
      <c r="K13" s="165"/>
      <c r="L13" s="168"/>
      <c r="M13" s="55"/>
      <c r="N13" s="165"/>
      <c r="O13" s="168"/>
      <c r="P13" s="55"/>
      <c r="Q13" s="165"/>
      <c r="R13" s="168"/>
      <c r="S13" s="55"/>
      <c r="T13" s="165"/>
      <c r="U13" s="168"/>
      <c r="V13" s="55"/>
      <c r="W13" s="165"/>
      <c r="X13" s="168"/>
      <c r="Y13" s="3"/>
    </row>
    <row r="14" spans="1:25" ht="30.75" customHeight="1">
      <c r="A14" s="12"/>
      <c r="B14" s="12"/>
      <c r="C14" s="12"/>
      <c r="D14" s="14"/>
      <c r="E14" s="12"/>
      <c r="F14" s="91"/>
      <c r="G14" s="169"/>
      <c r="H14" s="159" t="s">
        <v>70</v>
      </c>
      <c r="I14" s="160" t="str">
        <f>I1</f>
        <v>Potatoes: No-Storage</v>
      </c>
      <c r="J14" s="161"/>
      <c r="K14" s="159" t="s">
        <v>71</v>
      </c>
      <c r="L14" s="160" t="str">
        <f>L1</f>
        <v>Hard Red Spring Wheat</v>
      </c>
      <c r="M14" s="161"/>
      <c r="N14" s="159" t="s">
        <v>72</v>
      </c>
      <c r="O14" s="160" t="str">
        <f>O1</f>
        <v>Soft White Winter Wheat</v>
      </c>
      <c r="P14" s="161"/>
      <c r="Q14" s="159" t="s">
        <v>73</v>
      </c>
      <c r="R14" s="160" t="str">
        <f>R1</f>
        <v>Malting Barley</v>
      </c>
      <c r="S14" s="161"/>
      <c r="T14" s="159" t="s">
        <v>74</v>
      </c>
      <c r="U14" s="160" t="str">
        <f>U1</f>
        <v>Field Corn </v>
      </c>
      <c r="V14" s="161"/>
      <c r="W14" s="159" t="s">
        <v>75</v>
      </c>
      <c r="X14" s="160" t="str">
        <f>X1</f>
        <v>Sugarbeets</v>
      </c>
      <c r="Y14" s="3"/>
    </row>
    <row r="15" spans="1:25" ht="15.75">
      <c r="A15" s="50"/>
      <c r="B15" s="38"/>
      <c r="C15" s="38"/>
      <c r="D15" s="33"/>
      <c r="E15" s="38"/>
      <c r="F15" s="563" t="s">
        <v>77</v>
      </c>
      <c r="G15" s="563"/>
      <c r="H15" s="544"/>
      <c r="I15" s="546" t="s">
        <v>78</v>
      </c>
      <c r="J15" s="546"/>
      <c r="K15" s="544"/>
      <c r="L15" s="546" t="s">
        <v>78</v>
      </c>
      <c r="M15" s="546"/>
      <c r="N15" s="544"/>
      <c r="O15" s="546" t="s">
        <v>78</v>
      </c>
      <c r="P15" s="546"/>
      <c r="Q15" s="544"/>
      <c r="R15" s="546" t="s">
        <v>78</v>
      </c>
      <c r="S15" s="546"/>
      <c r="T15" s="544"/>
      <c r="U15" s="546" t="s">
        <v>78</v>
      </c>
      <c r="V15" s="546"/>
      <c r="W15" s="544"/>
      <c r="X15" s="546" t="s">
        <v>78</v>
      </c>
      <c r="Y15" s="3"/>
    </row>
    <row r="16" spans="1:25" ht="15.75">
      <c r="A16" s="558"/>
      <c r="B16" s="548"/>
      <c r="C16" s="548"/>
      <c r="D16" s="545"/>
      <c r="E16" s="548"/>
      <c r="F16" s="564" t="s">
        <v>93</v>
      </c>
      <c r="G16" s="564"/>
      <c r="H16" s="549"/>
      <c r="I16" s="551" t="s">
        <v>93</v>
      </c>
      <c r="J16" s="551"/>
      <c r="K16" s="549"/>
      <c r="L16" s="551" t="s">
        <v>93</v>
      </c>
      <c r="M16" s="551"/>
      <c r="N16" s="549"/>
      <c r="O16" s="551" t="s">
        <v>93</v>
      </c>
      <c r="P16" s="551"/>
      <c r="Q16" s="549"/>
      <c r="R16" s="551" t="s">
        <v>93</v>
      </c>
      <c r="S16" s="551"/>
      <c r="T16" s="549"/>
      <c r="U16" s="551" t="s">
        <v>93</v>
      </c>
      <c r="V16" s="551"/>
      <c r="W16" s="549"/>
      <c r="X16" s="551" t="s">
        <v>93</v>
      </c>
      <c r="Y16" s="3"/>
    </row>
    <row r="17" spans="1:25" ht="15.75">
      <c r="A17" s="559" t="s">
        <v>94</v>
      </c>
      <c r="B17" s="539"/>
      <c r="C17" s="539"/>
      <c r="D17" s="554"/>
      <c r="E17" s="539"/>
      <c r="F17" s="565" t="s">
        <v>81</v>
      </c>
      <c r="G17" s="565"/>
      <c r="H17" s="553"/>
      <c r="I17" s="553" t="s">
        <v>81</v>
      </c>
      <c r="J17" s="553"/>
      <c r="K17" s="553"/>
      <c r="L17" s="553" t="s">
        <v>81</v>
      </c>
      <c r="M17" s="553"/>
      <c r="N17" s="553"/>
      <c r="O17" s="553" t="s">
        <v>81</v>
      </c>
      <c r="P17" s="553"/>
      <c r="Q17" s="553"/>
      <c r="R17" s="553" t="s">
        <v>81</v>
      </c>
      <c r="S17" s="553"/>
      <c r="T17" s="553"/>
      <c r="U17" s="553" t="s">
        <v>81</v>
      </c>
      <c r="V17" s="553"/>
      <c r="W17" s="553"/>
      <c r="X17" s="553" t="s">
        <v>81</v>
      </c>
      <c r="Y17" s="3"/>
    </row>
    <row r="18" spans="1:25" ht="15.75">
      <c r="A18" s="555" t="s">
        <v>86</v>
      </c>
      <c r="B18" s="522"/>
      <c r="C18" s="522"/>
      <c r="D18" s="560"/>
      <c r="E18" s="522"/>
      <c r="F18" s="659">
        <v>5</v>
      </c>
      <c r="G18" s="660"/>
      <c r="H18" s="660"/>
      <c r="I18" s="652">
        <v>0</v>
      </c>
      <c r="J18" s="663"/>
      <c r="K18" s="660"/>
      <c r="L18" s="652">
        <v>0</v>
      </c>
      <c r="M18" s="663"/>
      <c r="N18" s="660"/>
      <c r="O18" s="652">
        <v>0</v>
      </c>
      <c r="P18" s="663"/>
      <c r="Q18" s="660"/>
      <c r="R18" s="652">
        <v>0</v>
      </c>
      <c r="S18" s="663"/>
      <c r="T18" s="660"/>
      <c r="U18" s="652">
        <v>0</v>
      </c>
      <c r="V18" s="663"/>
      <c r="W18" s="660"/>
      <c r="X18" s="652">
        <v>0</v>
      </c>
      <c r="Y18" s="3"/>
    </row>
    <row r="19" spans="1:25" ht="15.75">
      <c r="A19" s="752" t="s">
        <v>87</v>
      </c>
      <c r="B19" s="751"/>
      <c r="C19" s="522"/>
      <c r="D19" s="560"/>
      <c r="E19" s="522"/>
      <c r="F19" s="659">
        <v>30</v>
      </c>
      <c r="G19" s="660"/>
      <c r="H19" s="660"/>
      <c r="I19" s="653">
        <v>0</v>
      </c>
      <c r="J19" s="663"/>
      <c r="K19" s="660"/>
      <c r="L19" s="653">
        <v>0</v>
      </c>
      <c r="M19" s="663"/>
      <c r="N19" s="660"/>
      <c r="O19" s="653">
        <v>0</v>
      </c>
      <c r="P19" s="663"/>
      <c r="Q19" s="660"/>
      <c r="R19" s="653">
        <v>0</v>
      </c>
      <c r="S19" s="663"/>
      <c r="T19" s="660"/>
      <c r="U19" s="653">
        <v>0</v>
      </c>
      <c r="V19" s="663"/>
      <c r="W19" s="660"/>
      <c r="X19" s="653">
        <v>0</v>
      </c>
      <c r="Y19" s="3"/>
    </row>
    <row r="20" spans="1:25" ht="15.75">
      <c r="A20" s="752" t="s">
        <v>88</v>
      </c>
      <c r="B20" s="751"/>
      <c r="C20" s="522"/>
      <c r="D20" s="560"/>
      <c r="E20" s="522"/>
      <c r="F20" s="659">
        <v>0</v>
      </c>
      <c r="G20" s="660"/>
      <c r="H20" s="660"/>
      <c r="I20" s="653">
        <v>0</v>
      </c>
      <c r="J20" s="663"/>
      <c r="K20" s="660"/>
      <c r="L20" s="653">
        <v>0</v>
      </c>
      <c r="M20" s="663"/>
      <c r="N20" s="660"/>
      <c r="O20" s="653">
        <v>0</v>
      </c>
      <c r="P20" s="663"/>
      <c r="Q20" s="660"/>
      <c r="R20" s="653">
        <v>0</v>
      </c>
      <c r="S20" s="663"/>
      <c r="T20" s="660"/>
      <c r="U20" s="653">
        <v>0</v>
      </c>
      <c r="V20" s="663"/>
      <c r="W20" s="660"/>
      <c r="X20" s="653">
        <v>0</v>
      </c>
      <c r="Y20" s="3"/>
    </row>
    <row r="21" spans="1:25" ht="15.75">
      <c r="A21" s="752" t="s">
        <v>89</v>
      </c>
      <c r="B21" s="751"/>
      <c r="C21" s="522"/>
      <c r="D21" s="560"/>
      <c r="E21" s="522"/>
      <c r="F21" s="659">
        <v>0</v>
      </c>
      <c r="G21" s="660"/>
      <c r="H21" s="660"/>
      <c r="I21" s="653">
        <v>0</v>
      </c>
      <c r="J21" s="663"/>
      <c r="K21" s="660"/>
      <c r="L21" s="653">
        <v>0</v>
      </c>
      <c r="M21" s="663"/>
      <c r="N21" s="660"/>
      <c r="O21" s="653">
        <v>0</v>
      </c>
      <c r="P21" s="663"/>
      <c r="Q21" s="660"/>
      <c r="R21" s="653">
        <v>0</v>
      </c>
      <c r="S21" s="663"/>
      <c r="T21" s="660"/>
      <c r="U21" s="653">
        <v>0</v>
      </c>
      <c r="V21" s="663"/>
      <c r="W21" s="660"/>
      <c r="X21" s="653">
        <v>0</v>
      </c>
      <c r="Y21" s="3"/>
    </row>
    <row r="22" spans="1:25" ht="15.75">
      <c r="A22" s="752" t="s">
        <v>90</v>
      </c>
      <c r="B22" s="751"/>
      <c r="C22" s="522"/>
      <c r="D22" s="560"/>
      <c r="E22" s="522"/>
      <c r="F22" s="659">
        <v>0</v>
      </c>
      <c r="G22" s="670"/>
      <c r="H22" s="671"/>
      <c r="I22" s="672">
        <v>85</v>
      </c>
      <c r="J22" s="673"/>
      <c r="K22" s="671"/>
      <c r="L22" s="672">
        <v>24</v>
      </c>
      <c r="M22" s="673"/>
      <c r="N22" s="671"/>
      <c r="O22" s="672">
        <v>22</v>
      </c>
      <c r="P22" s="673"/>
      <c r="Q22" s="671"/>
      <c r="R22" s="672">
        <v>15</v>
      </c>
      <c r="S22" s="673"/>
      <c r="T22" s="671"/>
      <c r="U22" s="672">
        <v>15</v>
      </c>
      <c r="V22" s="673"/>
      <c r="W22" s="671"/>
      <c r="X22" s="672">
        <v>65</v>
      </c>
      <c r="Y22" s="3"/>
    </row>
    <row r="23" spans="1:25" ht="15.75">
      <c r="A23" s="566" t="s">
        <v>91</v>
      </c>
      <c r="B23" s="767" t="str">
        <f>B11</f>
        <v>Sugarbeet Shares</v>
      </c>
      <c r="C23" s="767"/>
      <c r="D23" s="554"/>
      <c r="E23" s="539"/>
      <c r="F23" s="664">
        <v>0</v>
      </c>
      <c r="G23" s="665"/>
      <c r="H23" s="665"/>
      <c r="I23" s="654">
        <v>0</v>
      </c>
      <c r="J23" s="669"/>
      <c r="K23" s="665"/>
      <c r="L23" s="654">
        <v>0</v>
      </c>
      <c r="M23" s="669"/>
      <c r="N23" s="665"/>
      <c r="O23" s="654">
        <v>0</v>
      </c>
      <c r="P23" s="669"/>
      <c r="Q23" s="665"/>
      <c r="R23" s="654">
        <v>0</v>
      </c>
      <c r="S23" s="669"/>
      <c r="T23" s="665"/>
      <c r="U23" s="654">
        <v>0</v>
      </c>
      <c r="V23" s="669"/>
      <c r="W23" s="665"/>
      <c r="X23" s="654">
        <v>0</v>
      </c>
      <c r="Y23" s="3"/>
    </row>
    <row r="24" spans="1:25" ht="15.75">
      <c r="A24" s="759" t="s">
        <v>95</v>
      </c>
      <c r="B24" s="760"/>
      <c r="C24" s="760"/>
      <c r="D24" s="760"/>
      <c r="E24" s="764"/>
      <c r="F24" s="523">
        <f>SUM(F18:F23)</f>
        <v>35</v>
      </c>
      <c r="G24" s="523"/>
      <c r="H24" s="528">
        <f>SUM(H18:H23)</f>
        <v>0</v>
      </c>
      <c r="I24" s="523">
        <f>SUM(I18:I23)</f>
        <v>85</v>
      </c>
      <c r="J24" s="523"/>
      <c r="K24" s="528"/>
      <c r="L24" s="523">
        <f>SUM(L18:L23)</f>
        <v>24</v>
      </c>
      <c r="M24" s="523"/>
      <c r="N24" s="528"/>
      <c r="O24" s="523">
        <f>SUM(O18:O23)</f>
        <v>22</v>
      </c>
      <c r="P24" s="523"/>
      <c r="Q24" s="528"/>
      <c r="R24" s="523">
        <f>SUM(R18:R23)</f>
        <v>15</v>
      </c>
      <c r="S24" s="523"/>
      <c r="T24" s="528"/>
      <c r="U24" s="523">
        <f>SUM(U18:U23)</f>
        <v>15</v>
      </c>
      <c r="V24" s="523"/>
      <c r="W24" s="528"/>
      <c r="X24" s="523">
        <f>SUM(X18:X23)</f>
        <v>65</v>
      </c>
      <c r="Y24" s="3"/>
    </row>
    <row r="25" spans="1:25" ht="15.75">
      <c r="A25" s="166"/>
      <c r="B25" s="57"/>
      <c r="C25" s="57"/>
      <c r="D25" s="57"/>
      <c r="E25" s="57"/>
      <c r="F25" s="91"/>
      <c r="G25" s="91"/>
      <c r="H25" s="91"/>
      <c r="I25" s="95"/>
      <c r="J25" s="91"/>
      <c r="K25" s="91"/>
      <c r="L25" s="91"/>
      <c r="M25" s="91"/>
      <c r="N25" s="91"/>
      <c r="O25" s="91"/>
      <c r="P25" s="91"/>
      <c r="Q25" s="91"/>
      <c r="R25" s="91"/>
      <c r="S25" s="91"/>
      <c r="T25" s="91"/>
      <c r="U25" s="91"/>
      <c r="V25" s="91"/>
      <c r="W25" s="91"/>
      <c r="X25" s="91"/>
      <c r="Y25" s="3"/>
    </row>
    <row r="26" spans="1:25" ht="34.5" customHeight="1">
      <c r="A26" s="561"/>
      <c r="B26" s="562"/>
      <c r="C26" s="562"/>
      <c r="D26" s="562"/>
      <c r="E26" s="562"/>
      <c r="F26" s="528"/>
      <c r="G26" s="174"/>
      <c r="H26" s="175" t="s">
        <v>3</v>
      </c>
      <c r="I26" s="199" t="str">
        <f>I1</f>
        <v>Potatoes: No-Storage</v>
      </c>
      <c r="J26" s="176"/>
      <c r="K26" s="177" t="s">
        <v>71</v>
      </c>
      <c r="L26" s="200" t="str">
        <f>L1</f>
        <v>Hard Red Spring Wheat</v>
      </c>
      <c r="M26" s="178"/>
      <c r="N26" s="177" t="s">
        <v>72</v>
      </c>
      <c r="O26" s="200" t="str">
        <f>O1</f>
        <v>Soft White Winter Wheat</v>
      </c>
      <c r="P26" s="178"/>
      <c r="Q26" s="177" t="s">
        <v>73</v>
      </c>
      <c r="R26" s="200" t="str">
        <f>R1</f>
        <v>Malting Barley</v>
      </c>
      <c r="S26" s="178"/>
      <c r="T26" s="177" t="s">
        <v>74</v>
      </c>
      <c r="U26" s="200" t="str">
        <f>U1</f>
        <v>Field Corn </v>
      </c>
      <c r="V26" s="178"/>
      <c r="W26" s="177" t="s">
        <v>75</v>
      </c>
      <c r="X26" s="200" t="str">
        <f>X1</f>
        <v>Sugarbeets</v>
      </c>
      <c r="Y26" s="3"/>
    </row>
    <row r="27" spans="1:25" ht="15.75">
      <c r="A27" s="522"/>
      <c r="B27" s="522"/>
      <c r="C27" s="522"/>
      <c r="D27" s="560"/>
      <c r="E27" s="522"/>
      <c r="F27" s="563" t="s">
        <v>77</v>
      </c>
      <c r="G27" s="170"/>
      <c r="H27" s="179"/>
      <c r="I27" s="563" t="s">
        <v>96</v>
      </c>
      <c r="J27" s="563"/>
      <c r="K27" s="567"/>
      <c r="L27" s="563" t="s">
        <v>96</v>
      </c>
      <c r="M27" s="563"/>
      <c r="N27" s="567"/>
      <c r="O27" s="563" t="s">
        <v>96</v>
      </c>
      <c r="P27" s="563"/>
      <c r="Q27" s="567"/>
      <c r="R27" s="563" t="s">
        <v>96</v>
      </c>
      <c r="S27" s="563"/>
      <c r="T27" s="567"/>
      <c r="U27" s="563" t="s">
        <v>96</v>
      </c>
      <c r="V27" s="563"/>
      <c r="W27" s="567"/>
      <c r="X27" s="563" t="s">
        <v>96</v>
      </c>
      <c r="Y27" s="3"/>
    </row>
    <row r="28" spans="1:25" ht="15.75">
      <c r="A28" s="522"/>
      <c r="B28" s="522"/>
      <c r="C28" s="522"/>
      <c r="D28" s="560"/>
      <c r="E28" s="522"/>
      <c r="F28" s="564" t="s">
        <v>97</v>
      </c>
      <c r="G28" s="171"/>
      <c r="H28" s="180"/>
      <c r="I28" s="564" t="s">
        <v>97</v>
      </c>
      <c r="J28" s="564"/>
      <c r="K28" s="568"/>
      <c r="L28" s="564" t="s">
        <v>97</v>
      </c>
      <c r="M28" s="564"/>
      <c r="N28" s="568"/>
      <c r="O28" s="564" t="s">
        <v>97</v>
      </c>
      <c r="P28" s="564"/>
      <c r="Q28" s="568"/>
      <c r="R28" s="564" t="s">
        <v>97</v>
      </c>
      <c r="S28" s="564"/>
      <c r="T28" s="568"/>
      <c r="U28" s="564" t="s">
        <v>97</v>
      </c>
      <c r="V28" s="564"/>
      <c r="W28" s="568"/>
      <c r="X28" s="564" t="s">
        <v>97</v>
      </c>
      <c r="Y28" s="3"/>
    </row>
    <row r="29" spans="1:25" ht="15.75">
      <c r="A29" s="559" t="s">
        <v>98</v>
      </c>
      <c r="B29" s="539"/>
      <c r="C29" s="539"/>
      <c r="D29" s="554"/>
      <c r="E29" s="539"/>
      <c r="F29" s="565" t="s">
        <v>81</v>
      </c>
      <c r="G29" s="172"/>
      <c r="H29" s="172"/>
      <c r="I29" s="565" t="s">
        <v>81</v>
      </c>
      <c r="J29" s="565"/>
      <c r="K29" s="565"/>
      <c r="L29" s="565" t="s">
        <v>81</v>
      </c>
      <c r="M29" s="565"/>
      <c r="N29" s="565"/>
      <c r="O29" s="565" t="s">
        <v>81</v>
      </c>
      <c r="P29" s="565"/>
      <c r="Q29" s="565"/>
      <c r="R29" s="565" t="s">
        <v>81</v>
      </c>
      <c r="S29" s="565"/>
      <c r="T29" s="565"/>
      <c r="U29" s="565" t="s">
        <v>81</v>
      </c>
      <c r="V29" s="565"/>
      <c r="W29" s="565"/>
      <c r="X29" s="565" t="s">
        <v>81</v>
      </c>
      <c r="Y29" s="3"/>
    </row>
    <row r="30" spans="1:25" ht="15.75">
      <c r="A30" s="555" t="s">
        <v>85</v>
      </c>
      <c r="B30" s="522"/>
      <c r="C30" s="522"/>
      <c r="D30" s="560"/>
      <c r="E30" s="522"/>
      <c r="F30" s="657">
        <v>8</v>
      </c>
      <c r="G30" s="181"/>
      <c r="H30" s="91"/>
      <c r="I30" s="655">
        <v>0</v>
      </c>
      <c r="J30" s="182"/>
      <c r="K30" s="91"/>
      <c r="L30" s="652">
        <v>0</v>
      </c>
      <c r="M30" s="183"/>
      <c r="N30" s="91"/>
      <c r="O30" s="652">
        <v>0</v>
      </c>
      <c r="P30" s="183"/>
      <c r="Q30" s="91"/>
      <c r="R30" s="652">
        <v>0</v>
      </c>
      <c r="S30" s="183"/>
      <c r="T30" s="91"/>
      <c r="U30" s="652">
        <v>0</v>
      </c>
      <c r="V30" s="183"/>
      <c r="W30" s="91"/>
      <c r="X30" s="652">
        <v>0</v>
      </c>
      <c r="Y30" s="3"/>
    </row>
    <row r="31" spans="1:25" ht="15.75">
      <c r="A31" s="555" t="s">
        <v>99</v>
      </c>
      <c r="B31" s="522"/>
      <c r="C31" s="522"/>
      <c r="D31" s="560"/>
      <c r="E31" s="522"/>
      <c r="F31" s="657">
        <v>23</v>
      </c>
      <c r="G31" s="181"/>
      <c r="H31" s="91"/>
      <c r="I31" s="655">
        <v>0</v>
      </c>
      <c r="J31" s="182"/>
      <c r="K31" s="91"/>
      <c r="L31" s="653">
        <v>0</v>
      </c>
      <c r="M31" s="183"/>
      <c r="N31" s="91"/>
      <c r="O31" s="653">
        <v>0</v>
      </c>
      <c r="P31" s="183"/>
      <c r="Q31" s="91"/>
      <c r="R31" s="653">
        <v>0</v>
      </c>
      <c r="S31" s="183"/>
      <c r="T31" s="91"/>
      <c r="U31" s="653">
        <v>0</v>
      </c>
      <c r="V31" s="183"/>
      <c r="W31" s="91"/>
      <c r="X31" s="653">
        <v>0</v>
      </c>
      <c r="Y31" s="3"/>
    </row>
    <row r="32" spans="1:25" ht="15.75">
      <c r="A32" s="555" t="s">
        <v>86</v>
      </c>
      <c r="B32" s="522"/>
      <c r="C32" s="522"/>
      <c r="D32" s="560"/>
      <c r="E32" s="522"/>
      <c r="F32" s="657">
        <v>0</v>
      </c>
      <c r="G32" s="181"/>
      <c r="H32" s="91"/>
      <c r="I32" s="655">
        <v>0</v>
      </c>
      <c r="J32" s="182"/>
      <c r="K32" s="91"/>
      <c r="L32" s="653">
        <v>0</v>
      </c>
      <c r="M32" s="183"/>
      <c r="N32" s="91"/>
      <c r="O32" s="653">
        <v>0</v>
      </c>
      <c r="P32" s="183"/>
      <c r="Q32" s="91"/>
      <c r="R32" s="653">
        <v>0</v>
      </c>
      <c r="S32" s="183"/>
      <c r="T32" s="91"/>
      <c r="U32" s="653">
        <v>0</v>
      </c>
      <c r="V32" s="183"/>
      <c r="W32" s="91"/>
      <c r="X32" s="653">
        <v>0</v>
      </c>
      <c r="Y32" s="3"/>
    </row>
    <row r="33" spans="1:25" ht="15.75">
      <c r="A33" s="574" t="s">
        <v>100</v>
      </c>
      <c r="B33" s="522"/>
      <c r="C33" s="522"/>
      <c r="D33" s="560"/>
      <c r="E33" s="522"/>
      <c r="F33" s="657">
        <v>0</v>
      </c>
      <c r="G33" s="181"/>
      <c r="H33" s="91"/>
      <c r="I33" s="655">
        <v>0</v>
      </c>
      <c r="J33" s="182"/>
      <c r="K33" s="91"/>
      <c r="L33" s="653">
        <v>0</v>
      </c>
      <c r="M33" s="183"/>
      <c r="N33" s="91"/>
      <c r="O33" s="653">
        <v>0</v>
      </c>
      <c r="P33" s="183"/>
      <c r="Q33" s="91"/>
      <c r="R33" s="653">
        <v>0</v>
      </c>
      <c r="S33" s="183"/>
      <c r="T33" s="91"/>
      <c r="U33" s="653">
        <v>0</v>
      </c>
      <c r="V33" s="183"/>
      <c r="W33" s="91"/>
      <c r="X33" s="653">
        <v>0</v>
      </c>
      <c r="Y33" s="3"/>
    </row>
    <row r="34" spans="1:25" ht="15.75">
      <c r="A34" s="555" t="s">
        <v>88</v>
      </c>
      <c r="B34" s="522"/>
      <c r="C34" s="522"/>
      <c r="D34" s="560"/>
      <c r="E34" s="522"/>
      <c r="F34" s="657">
        <v>0</v>
      </c>
      <c r="G34" s="181"/>
      <c r="H34" s="91"/>
      <c r="I34" s="655">
        <v>0</v>
      </c>
      <c r="J34" s="182"/>
      <c r="K34" s="91"/>
      <c r="L34" s="653">
        <v>0</v>
      </c>
      <c r="M34" s="183"/>
      <c r="N34" s="91"/>
      <c r="O34" s="653">
        <v>0</v>
      </c>
      <c r="P34" s="183"/>
      <c r="Q34" s="91"/>
      <c r="R34" s="653">
        <v>0</v>
      </c>
      <c r="S34" s="183"/>
      <c r="T34" s="91"/>
      <c r="U34" s="653">
        <v>0</v>
      </c>
      <c r="V34" s="183"/>
      <c r="W34" s="91"/>
      <c r="X34" s="653">
        <v>0</v>
      </c>
      <c r="Y34" s="3"/>
    </row>
    <row r="35" spans="1:25" ht="15.75">
      <c r="A35" s="555" t="s">
        <v>89</v>
      </c>
      <c r="B35" s="522"/>
      <c r="C35" s="522"/>
      <c r="D35" s="560"/>
      <c r="E35" s="522"/>
      <c r="F35" s="657">
        <v>0</v>
      </c>
      <c r="G35" s="181"/>
      <c r="H35" s="91"/>
      <c r="I35" s="655">
        <v>0</v>
      </c>
      <c r="J35" s="182"/>
      <c r="K35" s="91"/>
      <c r="L35" s="653">
        <v>0</v>
      </c>
      <c r="M35" s="183"/>
      <c r="N35" s="91"/>
      <c r="O35" s="653">
        <v>0</v>
      </c>
      <c r="P35" s="183"/>
      <c r="Q35" s="91"/>
      <c r="R35" s="653">
        <v>2</v>
      </c>
      <c r="S35" s="183"/>
      <c r="T35" s="91"/>
      <c r="U35" s="653">
        <v>2</v>
      </c>
      <c r="V35" s="183"/>
      <c r="W35" s="91"/>
      <c r="X35" s="653">
        <v>0</v>
      </c>
      <c r="Y35" s="3"/>
    </row>
    <row r="36" spans="1:25" ht="15.75">
      <c r="A36" s="574" t="s">
        <v>101</v>
      </c>
      <c r="B36" s="522"/>
      <c r="C36" s="522"/>
      <c r="D36" s="560"/>
      <c r="E36" s="522"/>
      <c r="F36" s="657">
        <v>0</v>
      </c>
      <c r="G36" s="181"/>
      <c r="H36" s="91"/>
      <c r="I36" s="655">
        <v>0</v>
      </c>
      <c r="J36" s="182"/>
      <c r="K36" s="91"/>
      <c r="L36" s="653">
        <v>0</v>
      </c>
      <c r="M36" s="183"/>
      <c r="N36" s="91"/>
      <c r="O36" s="653">
        <v>0</v>
      </c>
      <c r="P36" s="183"/>
      <c r="Q36" s="91"/>
      <c r="R36" s="653">
        <v>0</v>
      </c>
      <c r="S36" s="183"/>
      <c r="T36" s="91"/>
      <c r="U36" s="653">
        <v>0</v>
      </c>
      <c r="V36" s="183"/>
      <c r="W36" s="91"/>
      <c r="X36" s="653">
        <v>0</v>
      </c>
      <c r="Y36" s="3"/>
    </row>
    <row r="37" spans="1:25" ht="15.75">
      <c r="A37" s="566" t="s">
        <v>102</v>
      </c>
      <c r="B37" s="757" t="str">
        <f>B11</f>
        <v>Sugarbeet Shares</v>
      </c>
      <c r="C37" s="757"/>
      <c r="D37" s="554"/>
      <c r="E37" s="539"/>
      <c r="F37" s="658">
        <v>0</v>
      </c>
      <c r="G37" s="184"/>
      <c r="H37" s="95"/>
      <c r="I37" s="656">
        <v>0</v>
      </c>
      <c r="J37" s="185"/>
      <c r="K37" s="94"/>
      <c r="L37" s="654">
        <v>0</v>
      </c>
      <c r="M37" s="186"/>
      <c r="N37" s="94"/>
      <c r="O37" s="654">
        <v>0</v>
      </c>
      <c r="P37" s="186"/>
      <c r="Q37" s="94"/>
      <c r="R37" s="654">
        <v>0</v>
      </c>
      <c r="S37" s="186"/>
      <c r="T37" s="94"/>
      <c r="U37" s="654">
        <v>0</v>
      </c>
      <c r="V37" s="186"/>
      <c r="W37" s="94"/>
      <c r="X37" s="654">
        <v>0</v>
      </c>
      <c r="Y37" s="3"/>
    </row>
    <row r="38" spans="1:25" ht="15.75">
      <c r="A38" s="759" t="s">
        <v>103</v>
      </c>
      <c r="B38" s="760"/>
      <c r="C38" s="760"/>
      <c r="D38" s="760"/>
      <c r="E38" s="760"/>
      <c r="F38" s="529">
        <f>SUM(F30:F37)</f>
        <v>31</v>
      </c>
      <c r="G38" s="525"/>
      <c r="H38" s="530"/>
      <c r="I38" s="531">
        <f>SUM(I30:I37)</f>
        <v>0</v>
      </c>
      <c r="J38" s="532"/>
      <c r="K38" s="530"/>
      <c r="L38" s="531">
        <f>SUM(L30:L37)</f>
        <v>0</v>
      </c>
      <c r="M38" s="532"/>
      <c r="N38" s="530"/>
      <c r="O38" s="531">
        <f>SUM(O30:O37)</f>
        <v>0</v>
      </c>
      <c r="P38" s="532"/>
      <c r="Q38" s="530"/>
      <c r="R38" s="531">
        <f>SUM(R30:R37)</f>
        <v>2</v>
      </c>
      <c r="S38" s="532"/>
      <c r="T38" s="530"/>
      <c r="U38" s="531">
        <f>SUM(U30:U37)</f>
        <v>2</v>
      </c>
      <c r="V38" s="532"/>
      <c r="W38" s="530"/>
      <c r="X38" s="531">
        <f>SUM(X30:X37)</f>
        <v>0</v>
      </c>
      <c r="Y38" s="3"/>
    </row>
    <row r="39" spans="1:25" ht="15.75">
      <c r="A39" s="12"/>
      <c r="B39" s="12"/>
      <c r="C39" s="12"/>
      <c r="D39" s="14"/>
      <c r="E39" s="12"/>
      <c r="F39" s="91"/>
      <c r="G39" s="91"/>
      <c r="H39" s="91"/>
      <c r="I39" s="67"/>
      <c r="J39" s="67"/>
      <c r="K39" s="94"/>
      <c r="L39" s="187"/>
      <c r="M39" s="188"/>
      <c r="N39" s="94"/>
      <c r="O39" s="187"/>
      <c r="P39" s="188"/>
      <c r="Q39" s="94"/>
      <c r="R39" s="187"/>
      <c r="S39" s="188"/>
      <c r="T39" s="94"/>
      <c r="U39" s="187"/>
      <c r="V39" s="188"/>
      <c r="W39" s="94"/>
      <c r="X39" s="187"/>
      <c r="Y39" s="3"/>
    </row>
    <row r="40" spans="1:25" ht="31.5" customHeight="1">
      <c r="A40" s="522"/>
      <c r="B40" s="522"/>
      <c r="C40" s="522"/>
      <c r="D40" s="560"/>
      <c r="E40" s="522"/>
      <c r="F40" s="528"/>
      <c r="G40" s="174"/>
      <c r="H40" s="175" t="s">
        <v>3</v>
      </c>
      <c r="I40" s="189" t="str">
        <f>I1</f>
        <v>Potatoes: No-Storage</v>
      </c>
      <c r="J40" s="190"/>
      <c r="K40" s="191" t="s">
        <v>71</v>
      </c>
      <c r="L40" s="192" t="str">
        <f>L1</f>
        <v>Hard Red Spring Wheat</v>
      </c>
      <c r="M40" s="190"/>
      <c r="N40" s="191" t="s">
        <v>72</v>
      </c>
      <c r="O40" s="192" t="str">
        <f>O1</f>
        <v>Soft White Winter Wheat</v>
      </c>
      <c r="P40" s="190"/>
      <c r="Q40" s="191" t="s">
        <v>73</v>
      </c>
      <c r="R40" s="192" t="str">
        <f>R1</f>
        <v>Malting Barley</v>
      </c>
      <c r="S40" s="190"/>
      <c r="T40" s="191" t="s">
        <v>74</v>
      </c>
      <c r="U40" s="192" t="str">
        <f>U1</f>
        <v>Field Corn </v>
      </c>
      <c r="V40" s="190"/>
      <c r="W40" s="191" t="s">
        <v>75</v>
      </c>
      <c r="X40" s="192" t="str">
        <f>X1</f>
        <v>Sugarbeets</v>
      </c>
      <c r="Y40" s="3"/>
    </row>
    <row r="41" spans="1:25" ht="15.75">
      <c r="A41" s="522"/>
      <c r="B41" s="522"/>
      <c r="C41" s="522"/>
      <c r="D41" s="560"/>
      <c r="E41" s="522"/>
      <c r="F41" s="563" t="s">
        <v>77</v>
      </c>
      <c r="G41" s="193"/>
      <c r="H41" s="91"/>
      <c r="I41" s="564" t="s">
        <v>96</v>
      </c>
      <c r="J41" s="569"/>
      <c r="K41" s="528"/>
      <c r="L41" s="564" t="s">
        <v>96</v>
      </c>
      <c r="M41" s="569"/>
      <c r="N41" s="528"/>
      <c r="O41" s="564" t="s">
        <v>96</v>
      </c>
      <c r="P41" s="569"/>
      <c r="Q41" s="528"/>
      <c r="R41" s="564" t="s">
        <v>96</v>
      </c>
      <c r="S41" s="569"/>
      <c r="T41" s="528"/>
      <c r="U41" s="564" t="s">
        <v>96</v>
      </c>
      <c r="V41" s="569"/>
      <c r="W41" s="528"/>
      <c r="X41" s="564" t="s">
        <v>96</v>
      </c>
      <c r="Y41" s="3"/>
    </row>
    <row r="42" spans="1:25" ht="15.75">
      <c r="A42" s="522"/>
      <c r="B42" s="522"/>
      <c r="C42" s="522"/>
      <c r="D42" s="560"/>
      <c r="E42" s="522"/>
      <c r="F42" s="564" t="s">
        <v>104</v>
      </c>
      <c r="G42" s="193"/>
      <c r="H42" s="91"/>
      <c r="I42" s="564" t="s">
        <v>104</v>
      </c>
      <c r="J42" s="569"/>
      <c r="K42" s="528"/>
      <c r="L42" s="564" t="s">
        <v>104</v>
      </c>
      <c r="M42" s="569"/>
      <c r="N42" s="528"/>
      <c r="O42" s="564" t="s">
        <v>104</v>
      </c>
      <c r="P42" s="569"/>
      <c r="Q42" s="528"/>
      <c r="R42" s="564" t="s">
        <v>104</v>
      </c>
      <c r="S42" s="569"/>
      <c r="T42" s="528"/>
      <c r="U42" s="564" t="s">
        <v>104</v>
      </c>
      <c r="V42" s="569"/>
      <c r="W42" s="528"/>
      <c r="X42" s="564" t="s">
        <v>104</v>
      </c>
      <c r="Y42" s="3"/>
    </row>
    <row r="43" spans="1:25" ht="15.75">
      <c r="A43" s="559" t="s">
        <v>105</v>
      </c>
      <c r="B43" s="539"/>
      <c r="C43" s="539"/>
      <c r="D43" s="554"/>
      <c r="E43" s="539"/>
      <c r="F43" s="565" t="s">
        <v>81</v>
      </c>
      <c r="G43" s="194"/>
      <c r="H43" s="94"/>
      <c r="I43" s="565" t="s">
        <v>81</v>
      </c>
      <c r="J43" s="570"/>
      <c r="K43" s="571"/>
      <c r="L43" s="565" t="s">
        <v>81</v>
      </c>
      <c r="M43" s="570"/>
      <c r="N43" s="571"/>
      <c r="O43" s="565" t="s">
        <v>81</v>
      </c>
      <c r="P43" s="570"/>
      <c r="Q43" s="571"/>
      <c r="R43" s="565" t="s">
        <v>81</v>
      </c>
      <c r="S43" s="570"/>
      <c r="T43" s="571"/>
      <c r="U43" s="565" t="s">
        <v>81</v>
      </c>
      <c r="V43" s="570"/>
      <c r="W43" s="571"/>
      <c r="X43" s="565" t="s">
        <v>81</v>
      </c>
      <c r="Y43" s="3"/>
    </row>
    <row r="44" spans="1:25" ht="15.75">
      <c r="A44" s="574" t="s">
        <v>85</v>
      </c>
      <c r="B44" s="522"/>
      <c r="C44" s="522"/>
      <c r="D44" s="560"/>
      <c r="E44" s="522"/>
      <c r="F44" s="659">
        <v>2</v>
      </c>
      <c r="G44" s="660"/>
      <c r="H44" s="661"/>
      <c r="I44" s="655">
        <v>0</v>
      </c>
      <c r="J44" s="662"/>
      <c r="K44" s="661"/>
      <c r="L44" s="652">
        <v>0</v>
      </c>
      <c r="M44" s="663"/>
      <c r="N44" s="661"/>
      <c r="O44" s="652">
        <v>0</v>
      </c>
      <c r="P44" s="663"/>
      <c r="Q44" s="661"/>
      <c r="R44" s="652">
        <v>0</v>
      </c>
      <c r="S44" s="663"/>
      <c r="T44" s="661"/>
      <c r="U44" s="652">
        <v>0</v>
      </c>
      <c r="V44" s="663"/>
      <c r="W44" s="661"/>
      <c r="X44" s="652">
        <v>0</v>
      </c>
      <c r="Y44" s="3"/>
    </row>
    <row r="45" spans="1:25" ht="15.75">
      <c r="A45" s="555" t="s">
        <v>86</v>
      </c>
      <c r="B45" s="522"/>
      <c r="C45" s="522"/>
      <c r="D45" s="560"/>
      <c r="E45" s="522"/>
      <c r="F45" s="659">
        <v>1</v>
      </c>
      <c r="G45" s="660"/>
      <c r="H45" s="661"/>
      <c r="I45" s="655">
        <v>0</v>
      </c>
      <c r="J45" s="662"/>
      <c r="K45" s="661"/>
      <c r="L45" s="653">
        <v>0</v>
      </c>
      <c r="M45" s="663"/>
      <c r="N45" s="661"/>
      <c r="O45" s="653">
        <v>0</v>
      </c>
      <c r="P45" s="663"/>
      <c r="Q45" s="661"/>
      <c r="R45" s="653">
        <v>0</v>
      </c>
      <c r="S45" s="663"/>
      <c r="T45" s="661"/>
      <c r="U45" s="653">
        <v>0</v>
      </c>
      <c r="V45" s="663"/>
      <c r="W45" s="661"/>
      <c r="X45" s="653">
        <v>0</v>
      </c>
      <c r="Y45" s="3"/>
    </row>
    <row r="46" spans="1:25" ht="15.75">
      <c r="A46" s="574" t="s">
        <v>87</v>
      </c>
      <c r="B46" s="522"/>
      <c r="C46" s="522"/>
      <c r="D46" s="560"/>
      <c r="E46" s="522"/>
      <c r="F46" s="659">
        <v>2</v>
      </c>
      <c r="G46" s="660"/>
      <c r="H46" s="661"/>
      <c r="I46" s="655">
        <v>0</v>
      </c>
      <c r="J46" s="662"/>
      <c r="K46" s="661"/>
      <c r="L46" s="653">
        <v>0</v>
      </c>
      <c r="M46" s="663"/>
      <c r="N46" s="661"/>
      <c r="O46" s="653">
        <v>0</v>
      </c>
      <c r="P46" s="663"/>
      <c r="Q46" s="661"/>
      <c r="R46" s="653">
        <v>0</v>
      </c>
      <c r="S46" s="663"/>
      <c r="T46" s="661"/>
      <c r="U46" s="653">
        <v>0</v>
      </c>
      <c r="V46" s="663"/>
      <c r="W46" s="661"/>
      <c r="X46" s="653">
        <v>0</v>
      </c>
      <c r="Y46" s="3"/>
    </row>
    <row r="47" spans="1:25" ht="15.75">
      <c r="A47" s="555" t="s">
        <v>88</v>
      </c>
      <c r="B47" s="522"/>
      <c r="C47" s="522"/>
      <c r="D47" s="560"/>
      <c r="E47" s="522"/>
      <c r="F47" s="659">
        <v>0</v>
      </c>
      <c r="G47" s="660"/>
      <c r="H47" s="661"/>
      <c r="I47" s="655">
        <v>0</v>
      </c>
      <c r="J47" s="662"/>
      <c r="K47" s="661"/>
      <c r="L47" s="653">
        <v>0</v>
      </c>
      <c r="M47" s="663"/>
      <c r="N47" s="661"/>
      <c r="O47" s="653">
        <v>0</v>
      </c>
      <c r="P47" s="663"/>
      <c r="Q47" s="661"/>
      <c r="R47" s="653">
        <v>0</v>
      </c>
      <c r="S47" s="663"/>
      <c r="T47" s="661"/>
      <c r="U47" s="653">
        <v>0</v>
      </c>
      <c r="V47" s="663"/>
      <c r="W47" s="661"/>
      <c r="X47" s="653">
        <v>0</v>
      </c>
      <c r="Y47" s="3"/>
    </row>
    <row r="48" spans="1:25" ht="15.75">
      <c r="A48" s="555" t="s">
        <v>89</v>
      </c>
      <c r="B48" s="522"/>
      <c r="C48" s="522"/>
      <c r="D48" s="560"/>
      <c r="E48" s="522"/>
      <c r="F48" s="659">
        <v>0</v>
      </c>
      <c r="G48" s="660"/>
      <c r="H48" s="661"/>
      <c r="I48" s="655">
        <v>0</v>
      </c>
      <c r="J48" s="662"/>
      <c r="K48" s="661"/>
      <c r="L48" s="653">
        <v>1</v>
      </c>
      <c r="M48" s="663"/>
      <c r="N48" s="661"/>
      <c r="O48" s="653">
        <v>1</v>
      </c>
      <c r="P48" s="663"/>
      <c r="Q48" s="661"/>
      <c r="R48" s="653">
        <v>1</v>
      </c>
      <c r="S48" s="663"/>
      <c r="T48" s="661"/>
      <c r="U48" s="653">
        <v>0</v>
      </c>
      <c r="V48" s="663"/>
      <c r="W48" s="661"/>
      <c r="X48" s="653">
        <v>0</v>
      </c>
      <c r="Y48" s="3"/>
    </row>
    <row r="49" spans="1:25" ht="15.75">
      <c r="A49" s="574" t="s">
        <v>90</v>
      </c>
      <c r="B49" s="522"/>
      <c r="C49" s="522"/>
      <c r="D49" s="560"/>
      <c r="E49" s="522"/>
      <c r="F49" s="659">
        <v>0</v>
      </c>
      <c r="G49" s="660"/>
      <c r="H49" s="661"/>
      <c r="I49" s="655">
        <v>8</v>
      </c>
      <c r="J49" s="662"/>
      <c r="K49" s="661"/>
      <c r="L49" s="653">
        <v>1</v>
      </c>
      <c r="M49" s="663"/>
      <c r="N49" s="661"/>
      <c r="O49" s="653">
        <v>3</v>
      </c>
      <c r="P49" s="663"/>
      <c r="Q49" s="661"/>
      <c r="R49" s="653">
        <v>3</v>
      </c>
      <c r="S49" s="663"/>
      <c r="T49" s="661"/>
      <c r="U49" s="653">
        <v>3</v>
      </c>
      <c r="V49" s="663"/>
      <c r="W49" s="661"/>
      <c r="X49" s="653">
        <v>5</v>
      </c>
      <c r="Y49" s="3"/>
    </row>
    <row r="50" spans="1:25" ht="15.75">
      <c r="A50" s="566" t="s">
        <v>91</v>
      </c>
      <c r="B50" s="757" t="str">
        <f>B11</f>
        <v>Sugarbeet Shares</v>
      </c>
      <c r="C50" s="758"/>
      <c r="D50" s="758"/>
      <c r="E50" s="539"/>
      <c r="F50" s="664">
        <v>0</v>
      </c>
      <c r="G50" s="665"/>
      <c r="H50" s="666"/>
      <c r="I50" s="656">
        <v>0</v>
      </c>
      <c r="J50" s="667"/>
      <c r="K50" s="668"/>
      <c r="L50" s="654">
        <v>0</v>
      </c>
      <c r="M50" s="669"/>
      <c r="N50" s="668"/>
      <c r="O50" s="654">
        <v>0</v>
      </c>
      <c r="P50" s="669"/>
      <c r="Q50" s="668"/>
      <c r="R50" s="654">
        <v>0</v>
      </c>
      <c r="S50" s="669"/>
      <c r="T50" s="668"/>
      <c r="U50" s="654">
        <v>0</v>
      </c>
      <c r="V50" s="669"/>
      <c r="W50" s="668"/>
      <c r="X50" s="654">
        <v>0</v>
      </c>
      <c r="Y50" s="3"/>
    </row>
    <row r="51" spans="1:25" ht="15.75">
      <c r="A51" s="759" t="s">
        <v>103</v>
      </c>
      <c r="B51" s="760"/>
      <c r="C51" s="760"/>
      <c r="D51" s="760"/>
      <c r="E51" s="761"/>
      <c r="F51" s="523">
        <f>SUM(F44:F50)</f>
        <v>5</v>
      </c>
      <c r="G51" s="523"/>
      <c r="H51" s="523"/>
      <c r="I51" s="523">
        <f>SUM(I44:I50)</f>
        <v>8</v>
      </c>
      <c r="J51" s="523"/>
      <c r="K51" s="523"/>
      <c r="L51" s="524">
        <f>SUM(L44:L50)</f>
        <v>2</v>
      </c>
      <c r="M51" s="525"/>
      <c r="N51" s="523"/>
      <c r="O51" s="524">
        <f>SUM(O44:O50)</f>
        <v>4</v>
      </c>
      <c r="P51" s="525"/>
      <c r="Q51" s="523"/>
      <c r="R51" s="524">
        <f>SUM(R44:R50)</f>
        <v>4</v>
      </c>
      <c r="S51" s="525"/>
      <c r="T51" s="523"/>
      <c r="U51" s="524">
        <f>SUM(U44:U50)</f>
        <v>3</v>
      </c>
      <c r="V51" s="525"/>
      <c r="W51" s="523"/>
      <c r="X51" s="524">
        <f>SUM(X44:X50)</f>
        <v>5</v>
      </c>
      <c r="Y51" s="3"/>
    </row>
    <row r="52" spans="1:25" ht="15.75">
      <c r="A52" s="12"/>
      <c r="B52" s="12"/>
      <c r="C52" s="12"/>
      <c r="D52" s="14"/>
      <c r="E52" s="12"/>
      <c r="F52" s="91"/>
      <c r="G52" s="91"/>
      <c r="H52" s="91"/>
      <c r="I52" s="67"/>
      <c r="J52" s="67"/>
      <c r="K52" s="91"/>
      <c r="L52" s="195"/>
      <c r="M52" s="55"/>
      <c r="N52" s="91"/>
      <c r="O52" s="195"/>
      <c r="P52" s="55"/>
      <c r="Q52" s="91"/>
      <c r="R52" s="195"/>
      <c r="S52" s="55"/>
      <c r="T52" s="91"/>
      <c r="U52" s="195"/>
      <c r="V52" s="55"/>
      <c r="W52" s="91"/>
      <c r="X52" s="195"/>
      <c r="Y52" s="3"/>
    </row>
    <row r="53" spans="1:25" ht="15.75">
      <c r="A53" s="522"/>
      <c r="B53" s="522"/>
      <c r="C53" s="522"/>
      <c r="D53" s="560"/>
      <c r="E53" s="522"/>
      <c r="F53" s="528"/>
      <c r="G53" s="528"/>
      <c r="H53" s="528"/>
      <c r="I53" s="533" t="s">
        <v>3</v>
      </c>
      <c r="J53" s="533"/>
      <c r="K53" s="528"/>
      <c r="L53" s="534" t="s">
        <v>4</v>
      </c>
      <c r="M53" s="535"/>
      <c r="N53" s="528"/>
      <c r="O53" s="534" t="s">
        <v>5</v>
      </c>
      <c r="P53" s="535"/>
      <c r="Q53" s="528"/>
      <c r="R53" s="534" t="s">
        <v>6</v>
      </c>
      <c r="S53" s="535"/>
      <c r="T53" s="528"/>
      <c r="U53" s="534" t="s">
        <v>7</v>
      </c>
      <c r="V53" s="535"/>
      <c r="W53" s="528"/>
      <c r="X53" s="534" t="s">
        <v>8</v>
      </c>
      <c r="Y53" s="536"/>
    </row>
    <row r="54" spans="1:25" ht="15.75">
      <c r="A54" s="522"/>
      <c r="B54" s="522"/>
      <c r="C54" s="522"/>
      <c r="D54" s="560"/>
      <c r="E54" s="522"/>
      <c r="F54" s="537" t="s">
        <v>106</v>
      </c>
      <c r="G54" s="537"/>
      <c r="H54" s="528"/>
      <c r="I54" s="533" t="s">
        <v>107</v>
      </c>
      <c r="J54" s="533"/>
      <c r="K54" s="528"/>
      <c r="L54" s="538" t="s">
        <v>107</v>
      </c>
      <c r="M54" s="535"/>
      <c r="N54" s="528"/>
      <c r="O54" s="538" t="s">
        <v>107</v>
      </c>
      <c r="P54" s="535"/>
      <c r="Q54" s="528"/>
      <c r="R54" s="538" t="s">
        <v>107</v>
      </c>
      <c r="S54" s="535"/>
      <c r="T54" s="528"/>
      <c r="U54" s="538" t="s">
        <v>107</v>
      </c>
      <c r="V54" s="535"/>
      <c r="W54" s="528"/>
      <c r="X54" s="538" t="s">
        <v>107</v>
      </c>
      <c r="Y54" s="536"/>
    </row>
    <row r="55" spans="1:25" ht="15.75">
      <c r="A55" s="572" t="s">
        <v>108</v>
      </c>
      <c r="B55" s="539"/>
      <c r="C55" s="573"/>
      <c r="D55" s="554"/>
      <c r="E55" s="539"/>
      <c r="F55" s="540">
        <f>F12+F24+F38+F51</f>
        <v>225</v>
      </c>
      <c r="G55" s="540"/>
      <c r="H55" s="540"/>
      <c r="I55" s="541">
        <f>I12+I24+I38+I51</f>
        <v>155</v>
      </c>
      <c r="J55" s="542"/>
      <c r="K55" s="543"/>
      <c r="L55" s="541">
        <f>L12+L24+L38+L51</f>
        <v>42.4</v>
      </c>
      <c r="M55" s="542"/>
      <c r="N55" s="543"/>
      <c r="O55" s="541">
        <f>O12+O24+O38+O51</f>
        <v>41.6</v>
      </c>
      <c r="P55" s="542"/>
      <c r="Q55" s="543"/>
      <c r="R55" s="541">
        <f>R12+R24+R38+R51</f>
        <v>53</v>
      </c>
      <c r="S55" s="542"/>
      <c r="T55" s="543"/>
      <c r="U55" s="541">
        <f>U12+U24+U38+U51</f>
        <v>52</v>
      </c>
      <c r="V55" s="542"/>
      <c r="W55" s="543"/>
      <c r="X55" s="541">
        <f>X12+X24+X38+X51</f>
        <v>182</v>
      </c>
      <c r="Y55" s="536"/>
    </row>
    <row r="56" spans="1:25" ht="15.75">
      <c r="A56" s="37" t="s">
        <v>20</v>
      </c>
      <c r="B56" s="12"/>
      <c r="C56" s="12"/>
      <c r="D56" s="14"/>
      <c r="E56" s="12"/>
      <c r="F56" s="61"/>
      <c r="G56" s="61"/>
      <c r="H56" s="61"/>
      <c r="I56" s="7"/>
      <c r="J56" s="7"/>
      <c r="K56" s="7"/>
      <c r="L56" s="3"/>
      <c r="M56" s="3"/>
      <c r="N56" s="3"/>
      <c r="O56" s="197"/>
      <c r="P56" s="197"/>
      <c r="Q56" s="197"/>
      <c r="R56" s="197"/>
      <c r="S56" s="197"/>
      <c r="T56" s="197"/>
      <c r="U56" s="3"/>
      <c r="V56" s="3"/>
      <c r="W56" s="3"/>
      <c r="X56" s="3"/>
      <c r="Y56" s="3"/>
    </row>
    <row r="57" spans="1:25" ht="15.75">
      <c r="A57" s="7"/>
      <c r="B57" s="12"/>
      <c r="C57" s="12"/>
      <c r="D57" s="14"/>
      <c r="E57" s="12"/>
      <c r="F57" s="12"/>
      <c r="G57" s="12"/>
      <c r="H57" s="12"/>
      <c r="I57" s="7"/>
      <c r="J57" s="7"/>
      <c r="K57" s="7"/>
      <c r="L57" s="3"/>
      <c r="M57" s="3"/>
      <c r="N57" s="3"/>
      <c r="O57" s="3"/>
      <c r="P57" s="3"/>
      <c r="Q57" s="3"/>
      <c r="R57" s="3"/>
      <c r="S57" s="3"/>
      <c r="T57" s="3"/>
      <c r="U57" s="3"/>
      <c r="V57" s="3"/>
      <c r="W57" s="3"/>
      <c r="X57" s="3"/>
      <c r="Y57" s="3"/>
    </row>
    <row r="58" spans="1:25" ht="15.75">
      <c r="A58" s="7"/>
      <c r="B58" s="12"/>
      <c r="C58" s="12"/>
      <c r="D58" s="14"/>
      <c r="E58" s="12"/>
      <c r="F58" s="12"/>
      <c r="G58" s="12"/>
      <c r="H58" s="12"/>
      <c r="I58" s="521"/>
      <c r="J58" s="7"/>
      <c r="K58" s="7"/>
      <c r="L58" s="3"/>
      <c r="M58" s="3"/>
      <c r="N58" s="3"/>
      <c r="O58" s="3"/>
      <c r="P58" s="3"/>
      <c r="Q58" s="3"/>
      <c r="R58" s="3"/>
      <c r="S58" s="3"/>
      <c r="T58" s="3"/>
      <c r="U58" s="3"/>
      <c r="V58" s="3"/>
      <c r="W58" s="3"/>
      <c r="X58" s="3"/>
      <c r="Y58" s="3"/>
    </row>
    <row r="59" spans="2:11" ht="15.75">
      <c r="B59" s="20"/>
      <c r="C59" s="20"/>
      <c r="D59" s="70"/>
      <c r="E59" s="20"/>
      <c r="F59" s="20"/>
      <c r="G59" s="20"/>
      <c r="H59" s="196"/>
      <c r="I59" s="41"/>
      <c r="J59" s="41"/>
      <c r="K59" s="41"/>
    </row>
    <row r="60" spans="2:11" ht="15.75">
      <c r="B60" s="20"/>
      <c r="C60" s="20"/>
      <c r="D60" s="70"/>
      <c r="E60" s="20"/>
      <c r="F60" s="20"/>
      <c r="G60" s="20"/>
      <c r="H60" s="20"/>
      <c r="I60" s="41"/>
      <c r="J60" s="41"/>
      <c r="K60" s="41"/>
    </row>
    <row r="61" spans="1:11" ht="15.75">
      <c r="A61" s="41"/>
      <c r="B61" s="20"/>
      <c r="C61" s="20"/>
      <c r="D61" s="70"/>
      <c r="E61" s="20"/>
      <c r="F61" s="20"/>
      <c r="G61" s="20"/>
      <c r="H61" s="20"/>
      <c r="I61" s="41"/>
      <c r="J61" s="41"/>
      <c r="K61" s="41"/>
    </row>
    <row r="62" spans="1:11" ht="15.75">
      <c r="A62" s="41"/>
      <c r="B62" s="20"/>
      <c r="C62" s="20"/>
      <c r="D62" s="70"/>
      <c r="E62" s="20"/>
      <c r="F62" s="20"/>
      <c r="G62" s="20"/>
      <c r="H62" s="20"/>
      <c r="I62" s="41"/>
      <c r="J62" s="41"/>
      <c r="K62" s="41"/>
    </row>
    <row r="63" spans="1:11" ht="15.75">
      <c r="A63" s="44"/>
      <c r="B63" s="20"/>
      <c r="C63" s="20"/>
      <c r="D63" s="70"/>
      <c r="E63" s="20"/>
      <c r="F63" s="20"/>
      <c r="G63" s="20"/>
      <c r="H63" s="20"/>
      <c r="I63" s="41"/>
      <c r="J63" s="41"/>
      <c r="K63" s="41"/>
    </row>
    <row r="64" spans="9:11" ht="15">
      <c r="I64" s="41"/>
      <c r="J64" s="41"/>
      <c r="K64" s="41"/>
    </row>
    <row r="65" spans="9:11" ht="15">
      <c r="I65" s="41"/>
      <c r="J65" s="41"/>
      <c r="K65" s="41"/>
    </row>
    <row r="66" spans="9:11" ht="15">
      <c r="I66" s="41"/>
      <c r="J66" s="41"/>
      <c r="K66" s="41"/>
    </row>
    <row r="67" spans="9:11" ht="15">
      <c r="I67" s="41"/>
      <c r="J67" s="41"/>
      <c r="K67" s="41"/>
    </row>
    <row r="68" spans="9:11" ht="15">
      <c r="I68" s="41"/>
      <c r="J68" s="41"/>
      <c r="K68" s="41"/>
    </row>
    <row r="69" spans="9:11" ht="15">
      <c r="I69" s="41"/>
      <c r="J69" s="41"/>
      <c r="K69" s="41"/>
    </row>
    <row r="70" spans="9:11" ht="15">
      <c r="I70" s="41"/>
      <c r="J70" s="41"/>
      <c r="K70" s="41"/>
    </row>
    <row r="71" spans="9:11" ht="15">
      <c r="I71" s="41"/>
      <c r="J71" s="41"/>
      <c r="K71" s="41"/>
    </row>
    <row r="72" spans="9:11" ht="15">
      <c r="I72" s="41"/>
      <c r="J72" s="41"/>
      <c r="K72" s="41"/>
    </row>
    <row r="73" spans="9:11" ht="15">
      <c r="I73" s="41"/>
      <c r="J73" s="41"/>
      <c r="K73" s="41"/>
    </row>
    <row r="74" spans="9:11" ht="15">
      <c r="I74" s="41"/>
      <c r="J74" s="41"/>
      <c r="K74" s="41"/>
    </row>
    <row r="75" ht="15">
      <c r="K75" s="41"/>
    </row>
    <row r="76" ht="15">
      <c r="K76" s="41"/>
    </row>
    <row r="77" ht="15">
      <c r="K77" s="41"/>
    </row>
    <row r="78" ht="15">
      <c r="K78" s="41"/>
    </row>
    <row r="79" ht="15">
      <c r="K79" s="41"/>
    </row>
    <row r="80" ht="15">
      <c r="K80" s="41"/>
    </row>
    <row r="81" ht="15">
      <c r="K81" s="41"/>
    </row>
    <row r="82" ht="15">
      <c r="K82" s="41"/>
    </row>
    <row r="83" ht="15">
      <c r="K83" s="41"/>
    </row>
    <row r="84" ht="15">
      <c r="K84" s="41"/>
    </row>
    <row r="85" ht="15">
      <c r="K85" s="41"/>
    </row>
    <row r="86" ht="15">
      <c r="K86" s="41"/>
    </row>
    <row r="87" ht="15">
      <c r="K87" s="41"/>
    </row>
    <row r="88" ht="15">
      <c r="K88" s="41"/>
    </row>
    <row r="89" ht="15">
      <c r="K89" s="41"/>
    </row>
    <row r="90" ht="15">
      <c r="K90" s="41"/>
    </row>
    <row r="91" ht="15">
      <c r="K91" s="41"/>
    </row>
    <row r="92" ht="15">
      <c r="K92" s="41"/>
    </row>
    <row r="93" ht="15">
      <c r="K93" s="41"/>
    </row>
    <row r="94" ht="15">
      <c r="K94" s="41"/>
    </row>
    <row r="95" ht="15">
      <c r="K95" s="41"/>
    </row>
    <row r="96" ht="15">
      <c r="K96" s="41"/>
    </row>
    <row r="97" ht="15">
      <c r="K97" s="41"/>
    </row>
    <row r="98" ht="15">
      <c r="K98" s="41"/>
    </row>
    <row r="99" ht="15">
      <c r="K99" s="41"/>
    </row>
    <row r="100" ht="15">
      <c r="K100" s="41"/>
    </row>
    <row r="101" ht="15">
      <c r="K101" s="41"/>
    </row>
    <row r="102" ht="15">
      <c r="K102" s="41"/>
    </row>
    <row r="103" ht="15">
      <c r="K103" s="41"/>
    </row>
    <row r="104" ht="15">
      <c r="K104" s="41"/>
    </row>
    <row r="105" ht="15">
      <c r="K105" s="41"/>
    </row>
    <row r="106" ht="15">
      <c r="K106" s="41"/>
    </row>
    <row r="107" ht="15">
      <c r="K107" s="41"/>
    </row>
    <row r="108" ht="15">
      <c r="K108" s="41"/>
    </row>
    <row r="109" ht="15">
      <c r="K109" s="41"/>
    </row>
    <row r="110" ht="15">
      <c r="K110" s="41"/>
    </row>
    <row r="111" ht="15">
      <c r="K111" s="41"/>
    </row>
    <row r="112" ht="15">
      <c r="K112" s="41"/>
    </row>
    <row r="113" ht="15">
      <c r="K113" s="41"/>
    </row>
    <row r="114" ht="15">
      <c r="K114" s="41"/>
    </row>
    <row r="115" ht="15">
      <c r="K115" s="41"/>
    </row>
    <row r="116" ht="15">
      <c r="K116" s="41"/>
    </row>
    <row r="117" ht="15">
      <c r="K117" s="41"/>
    </row>
    <row r="118" ht="15">
      <c r="K118" s="41"/>
    </row>
    <row r="119" ht="15">
      <c r="K119" s="41"/>
    </row>
    <row r="120" ht="15">
      <c r="K120" s="41"/>
    </row>
    <row r="121" ht="15">
      <c r="K121" s="41"/>
    </row>
    <row r="122" ht="15">
      <c r="K122" s="41"/>
    </row>
    <row r="123" ht="15">
      <c r="K123" s="41"/>
    </row>
    <row r="124" ht="15">
      <c r="K124" s="41"/>
    </row>
    <row r="125" ht="15">
      <c r="K125" s="41"/>
    </row>
    <row r="126" ht="15">
      <c r="K126" s="41"/>
    </row>
    <row r="127" ht="15">
      <c r="K127" s="41"/>
    </row>
    <row r="128" ht="15">
      <c r="K128" s="41"/>
    </row>
    <row r="129" ht="15">
      <c r="K129" s="41"/>
    </row>
    <row r="130" ht="15">
      <c r="K130" s="41"/>
    </row>
    <row r="131" ht="15">
      <c r="K131" s="41"/>
    </row>
    <row r="132" ht="15">
      <c r="K132" s="41"/>
    </row>
    <row r="133" ht="15">
      <c r="K133" s="41"/>
    </row>
    <row r="134" ht="15">
      <c r="K134" s="41"/>
    </row>
    <row r="135" ht="15">
      <c r="K135" s="41"/>
    </row>
    <row r="136" ht="15">
      <c r="K136" s="41"/>
    </row>
    <row r="137" ht="15">
      <c r="K137" s="41"/>
    </row>
    <row r="138" ht="15">
      <c r="K138" s="41"/>
    </row>
    <row r="139" ht="15">
      <c r="K139" s="41"/>
    </row>
    <row r="140" ht="15">
      <c r="K140" s="41"/>
    </row>
    <row r="141" ht="15">
      <c r="K141" s="41"/>
    </row>
    <row r="142" ht="15">
      <c r="K142" s="41"/>
    </row>
    <row r="143" ht="15">
      <c r="K143" s="41"/>
    </row>
    <row r="144" ht="15">
      <c r="K144" s="41"/>
    </row>
    <row r="145" ht="15">
      <c r="K145" s="41"/>
    </row>
    <row r="146" ht="15">
      <c r="K146" s="41"/>
    </row>
    <row r="147" ht="15">
      <c r="K147" s="41"/>
    </row>
    <row r="148" ht="15">
      <c r="K148" s="41"/>
    </row>
    <row r="149" ht="15">
      <c r="K149" s="41"/>
    </row>
    <row r="150" ht="15">
      <c r="K150" s="41"/>
    </row>
    <row r="151" ht="15">
      <c r="K151" s="41"/>
    </row>
    <row r="152" ht="15">
      <c r="K152" s="41"/>
    </row>
    <row r="153" ht="15">
      <c r="K153" s="41"/>
    </row>
    <row r="154" ht="15">
      <c r="K154" s="41"/>
    </row>
    <row r="155" ht="15">
      <c r="K155" s="41"/>
    </row>
    <row r="156" ht="15">
      <c r="K156" s="41"/>
    </row>
    <row r="157" ht="15">
      <c r="K157" s="41"/>
    </row>
    <row r="158" ht="15">
      <c r="K158" s="41"/>
    </row>
    <row r="159" ht="15">
      <c r="K159" s="41"/>
    </row>
    <row r="160" ht="15">
      <c r="K160" s="41"/>
    </row>
    <row r="161" ht="15">
      <c r="K161" s="41"/>
    </row>
    <row r="162" ht="15">
      <c r="K162" s="41"/>
    </row>
    <row r="163" ht="15">
      <c r="K163" s="41"/>
    </row>
    <row r="164" ht="15">
      <c r="K164" s="41"/>
    </row>
    <row r="165" ht="15">
      <c r="K165" s="41"/>
    </row>
    <row r="166" ht="15">
      <c r="K166" s="41"/>
    </row>
    <row r="167" ht="15">
      <c r="K167" s="41"/>
    </row>
    <row r="168" ht="15">
      <c r="K168" s="41"/>
    </row>
    <row r="169" ht="15">
      <c r="K169" s="41"/>
    </row>
    <row r="170" ht="15">
      <c r="K170" s="41"/>
    </row>
    <row r="171" ht="15">
      <c r="K171" s="41"/>
    </row>
    <row r="172" ht="15">
      <c r="K172" s="41"/>
    </row>
    <row r="173" ht="15">
      <c r="K173" s="41"/>
    </row>
    <row r="174" ht="15">
      <c r="K174" s="41"/>
    </row>
    <row r="175" ht="15">
      <c r="K175" s="41"/>
    </row>
    <row r="176" ht="15">
      <c r="K176" s="41"/>
    </row>
    <row r="177" ht="15">
      <c r="K177" s="41"/>
    </row>
    <row r="178" ht="15">
      <c r="K178" s="41"/>
    </row>
    <row r="179" ht="15">
      <c r="K179" s="41"/>
    </row>
    <row r="180" ht="15">
      <c r="K180" s="41"/>
    </row>
    <row r="181" ht="15">
      <c r="K181" s="41"/>
    </row>
    <row r="182" ht="15">
      <c r="K182" s="41"/>
    </row>
    <row r="183" ht="15">
      <c r="K183" s="41"/>
    </row>
    <row r="184" ht="15">
      <c r="K184" s="41"/>
    </row>
    <row r="185" ht="15">
      <c r="K185" s="41"/>
    </row>
    <row r="186" ht="15">
      <c r="K186" s="41"/>
    </row>
    <row r="187" ht="15">
      <c r="K187" s="41"/>
    </row>
    <row r="188" ht="15">
      <c r="K188" s="41"/>
    </row>
    <row r="189" ht="15">
      <c r="K189" s="41"/>
    </row>
    <row r="190" ht="15">
      <c r="K190" s="41"/>
    </row>
    <row r="191" ht="15">
      <c r="K191" s="41"/>
    </row>
    <row r="192" ht="15">
      <c r="K192" s="41"/>
    </row>
    <row r="193" ht="15">
      <c r="K193" s="41"/>
    </row>
    <row r="194" ht="15">
      <c r="K194" s="41"/>
    </row>
    <row r="195" ht="15">
      <c r="K195" s="41"/>
    </row>
    <row r="196" ht="15">
      <c r="K196" s="41"/>
    </row>
    <row r="197" ht="15">
      <c r="K197" s="41"/>
    </row>
    <row r="198" ht="15">
      <c r="K198" s="41"/>
    </row>
    <row r="199" ht="15">
      <c r="K199" s="41"/>
    </row>
    <row r="200" ht="15">
      <c r="K200" s="41"/>
    </row>
    <row r="201" ht="15">
      <c r="K201" s="41"/>
    </row>
    <row r="202" ht="15">
      <c r="K202" s="41"/>
    </row>
    <row r="203" ht="15">
      <c r="K203" s="41"/>
    </row>
    <row r="204" ht="15">
      <c r="K204" s="41"/>
    </row>
    <row r="205" ht="15">
      <c r="K205" s="41"/>
    </row>
    <row r="206" ht="15">
      <c r="K206" s="41"/>
    </row>
    <row r="207" ht="15">
      <c r="K207" s="41"/>
    </row>
    <row r="208" ht="15">
      <c r="K208" s="41"/>
    </row>
    <row r="209" ht="15">
      <c r="K209" s="41"/>
    </row>
    <row r="210" ht="15">
      <c r="K210" s="41"/>
    </row>
    <row r="211" ht="15">
      <c r="K211" s="41"/>
    </row>
    <row r="212" ht="15">
      <c r="K212" s="41"/>
    </row>
    <row r="213" ht="15">
      <c r="K213" s="41"/>
    </row>
    <row r="214" ht="15">
      <c r="K214" s="41"/>
    </row>
    <row r="215" ht="15">
      <c r="K215" s="41"/>
    </row>
    <row r="216" ht="15">
      <c r="K216" s="41"/>
    </row>
    <row r="217" ht="15">
      <c r="K217" s="41"/>
    </row>
    <row r="218" ht="15">
      <c r="K218" s="41"/>
    </row>
    <row r="219" ht="15">
      <c r="K219" s="41"/>
    </row>
    <row r="220" ht="15">
      <c r="K220" s="41"/>
    </row>
    <row r="221" ht="15">
      <c r="K221" s="41"/>
    </row>
    <row r="222" ht="15">
      <c r="K222" s="41"/>
    </row>
    <row r="223" ht="15">
      <c r="K223" s="41"/>
    </row>
    <row r="224" ht="15">
      <c r="K224" s="41"/>
    </row>
    <row r="225" ht="15">
      <c r="K225" s="41"/>
    </row>
    <row r="226" ht="15">
      <c r="K226" s="41"/>
    </row>
    <row r="227" ht="15">
      <c r="K227" s="41"/>
    </row>
    <row r="228" ht="15">
      <c r="K228" s="41"/>
    </row>
    <row r="229" ht="15">
      <c r="K229" s="41"/>
    </row>
    <row r="230" ht="15">
      <c r="K230" s="41"/>
    </row>
    <row r="231" ht="15">
      <c r="K231" s="41"/>
    </row>
    <row r="232" ht="15">
      <c r="K232" s="41"/>
    </row>
    <row r="233" ht="15">
      <c r="K233" s="41"/>
    </row>
    <row r="234" ht="15">
      <c r="K234" s="41"/>
    </row>
    <row r="235" ht="15">
      <c r="K235" s="41"/>
    </row>
    <row r="236" ht="15">
      <c r="K236" s="41"/>
    </row>
    <row r="237" ht="15">
      <c r="K237" s="41"/>
    </row>
    <row r="238" ht="15">
      <c r="K238" s="41"/>
    </row>
    <row r="239" ht="15">
      <c r="K239" s="41"/>
    </row>
    <row r="240" ht="15">
      <c r="K240" s="41"/>
    </row>
    <row r="241" ht="15">
      <c r="K241" s="41"/>
    </row>
    <row r="242" ht="15">
      <c r="K242" s="41"/>
    </row>
    <row r="243" ht="15">
      <c r="K243" s="41"/>
    </row>
    <row r="244" ht="15">
      <c r="K244" s="41"/>
    </row>
    <row r="245" ht="15">
      <c r="K245" s="41"/>
    </row>
    <row r="246" ht="15">
      <c r="K246" s="41"/>
    </row>
    <row r="247" ht="15">
      <c r="K247" s="41"/>
    </row>
    <row r="248" ht="15">
      <c r="K248" s="41"/>
    </row>
    <row r="249" ht="15">
      <c r="K249" s="41"/>
    </row>
    <row r="250" ht="15">
      <c r="K250" s="41"/>
    </row>
    <row r="251" ht="15">
      <c r="K251" s="41"/>
    </row>
    <row r="252" ht="15">
      <c r="K252" s="41"/>
    </row>
    <row r="253" ht="15">
      <c r="K253" s="41"/>
    </row>
    <row r="254" ht="15">
      <c r="K254" s="41"/>
    </row>
    <row r="255" ht="15">
      <c r="K255" s="41"/>
    </row>
    <row r="256" ht="15">
      <c r="K256" s="41"/>
    </row>
    <row r="257" ht="15">
      <c r="K257" s="41"/>
    </row>
    <row r="258" ht="15">
      <c r="K258" s="41"/>
    </row>
    <row r="259" ht="15">
      <c r="K259" s="41"/>
    </row>
    <row r="260" ht="15">
      <c r="K260" s="41"/>
    </row>
    <row r="261" ht="15">
      <c r="K261" s="41"/>
    </row>
    <row r="262" ht="15">
      <c r="K262" s="41"/>
    </row>
    <row r="263" ht="15">
      <c r="K263" s="41"/>
    </row>
    <row r="264" ht="15">
      <c r="K264" s="41"/>
    </row>
    <row r="265" ht="15">
      <c r="K265" s="41"/>
    </row>
    <row r="266" ht="15">
      <c r="K266" s="41"/>
    </row>
    <row r="267" ht="15">
      <c r="K267" s="41"/>
    </row>
    <row r="268" ht="15">
      <c r="K268" s="41"/>
    </row>
    <row r="269" ht="15">
      <c r="K269" s="41"/>
    </row>
    <row r="270" ht="15">
      <c r="K270" s="41"/>
    </row>
    <row r="271" ht="15">
      <c r="K271" s="41"/>
    </row>
    <row r="272" ht="15">
      <c r="K272" s="41"/>
    </row>
    <row r="273" ht="15">
      <c r="K273" s="41"/>
    </row>
    <row r="274" ht="15">
      <c r="K274" s="41"/>
    </row>
    <row r="275" ht="15">
      <c r="K275" s="41"/>
    </row>
    <row r="276" ht="15">
      <c r="K276" s="41"/>
    </row>
    <row r="277" ht="15">
      <c r="K277" s="41"/>
    </row>
    <row r="278" ht="15">
      <c r="K278" s="41"/>
    </row>
    <row r="279" ht="15">
      <c r="K279" s="41"/>
    </row>
    <row r="280" ht="15">
      <c r="K280" s="41"/>
    </row>
    <row r="281" ht="15">
      <c r="K281" s="41"/>
    </row>
    <row r="282" ht="15">
      <c r="K282" s="41"/>
    </row>
    <row r="283" ht="15">
      <c r="K283" s="41"/>
    </row>
    <row r="284" ht="15">
      <c r="K284" s="41"/>
    </row>
    <row r="285" ht="15">
      <c r="K285" s="41"/>
    </row>
    <row r="286" ht="15">
      <c r="K286" s="41"/>
    </row>
    <row r="287" ht="15">
      <c r="K287" s="41"/>
    </row>
    <row r="288" ht="15">
      <c r="K288" s="41"/>
    </row>
    <row r="289" ht="15">
      <c r="K289" s="41"/>
    </row>
    <row r="290" ht="15">
      <c r="K290" s="41"/>
    </row>
    <row r="291" ht="15">
      <c r="K291" s="41"/>
    </row>
    <row r="292" ht="15">
      <c r="K292" s="41"/>
    </row>
    <row r="293" ht="15">
      <c r="K293" s="41"/>
    </row>
    <row r="294" ht="15">
      <c r="K294" s="41"/>
    </row>
    <row r="295" ht="15">
      <c r="K295" s="41"/>
    </row>
    <row r="296" ht="15">
      <c r="K296" s="41"/>
    </row>
    <row r="297" ht="15">
      <c r="K297" s="41"/>
    </row>
    <row r="298" ht="15">
      <c r="K298" s="41"/>
    </row>
    <row r="299" ht="15">
      <c r="K299" s="41"/>
    </row>
    <row r="300" ht="15">
      <c r="K300" s="41"/>
    </row>
    <row r="301" ht="15">
      <c r="K301" s="41"/>
    </row>
    <row r="302" ht="15">
      <c r="K302" s="41"/>
    </row>
    <row r="303" ht="15">
      <c r="K303" s="41"/>
    </row>
    <row r="304" ht="15">
      <c r="K304" s="41"/>
    </row>
    <row r="305" ht="15">
      <c r="K305" s="41"/>
    </row>
    <row r="306" ht="15">
      <c r="K306" s="41"/>
    </row>
    <row r="307" ht="15">
      <c r="K307" s="41"/>
    </row>
    <row r="308" ht="15">
      <c r="K308" s="41"/>
    </row>
    <row r="309" ht="15">
      <c r="K309" s="41"/>
    </row>
    <row r="310" ht="15">
      <c r="K310" s="41"/>
    </row>
    <row r="311" ht="15">
      <c r="K311" s="41"/>
    </row>
    <row r="312" ht="15">
      <c r="K312" s="41"/>
    </row>
    <row r="313" ht="15">
      <c r="K313" s="41"/>
    </row>
    <row r="314" spans="9:11" ht="15">
      <c r="I314" s="41"/>
      <c r="J314" s="41"/>
      <c r="K314" s="41"/>
    </row>
    <row r="315" spans="9:11" ht="15">
      <c r="I315" s="41"/>
      <c r="J315" s="41"/>
      <c r="K315" s="41"/>
    </row>
    <row r="316" spans="9:11" ht="15">
      <c r="I316" s="41"/>
      <c r="J316" s="41"/>
      <c r="K316" s="41"/>
    </row>
    <row r="317" spans="9:11" ht="15">
      <c r="I317" s="41"/>
      <c r="J317" s="41"/>
      <c r="K317" s="41"/>
    </row>
    <row r="318" spans="9:11" ht="15">
      <c r="I318" s="41"/>
      <c r="J318" s="41"/>
      <c r="K318" s="41"/>
    </row>
    <row r="319" spans="9:11" ht="15">
      <c r="I319" s="41"/>
      <c r="J319" s="41"/>
      <c r="K319" s="41"/>
    </row>
    <row r="320" spans="9:11" ht="15">
      <c r="I320" s="41"/>
      <c r="J320" s="41"/>
      <c r="K320" s="41"/>
    </row>
    <row r="321" spans="9:11" ht="15">
      <c r="I321" s="41"/>
      <c r="J321" s="41"/>
      <c r="K321" s="41"/>
    </row>
    <row r="322" spans="9:11" ht="15">
      <c r="I322" s="41"/>
      <c r="J322" s="41"/>
      <c r="K322" s="41"/>
    </row>
    <row r="323" spans="9:11" ht="15">
      <c r="I323" s="41"/>
      <c r="J323" s="41"/>
      <c r="K323" s="41"/>
    </row>
    <row r="324" spans="9:11" ht="15">
      <c r="I324" s="41"/>
      <c r="J324" s="41"/>
      <c r="K324" s="41"/>
    </row>
    <row r="325" spans="9:11" ht="15">
      <c r="I325" s="41"/>
      <c r="J325" s="41"/>
      <c r="K325" s="41"/>
    </row>
    <row r="326" spans="9:11" ht="15">
      <c r="I326" s="41"/>
      <c r="J326" s="41"/>
      <c r="K326" s="41"/>
    </row>
    <row r="327" spans="9:11" ht="15">
      <c r="I327" s="41"/>
      <c r="J327" s="41"/>
      <c r="K327" s="41"/>
    </row>
    <row r="328" spans="9:11" ht="15">
      <c r="I328" s="41"/>
      <c r="J328" s="41"/>
      <c r="K328" s="41"/>
    </row>
    <row r="329" spans="9:11" ht="15">
      <c r="I329" s="41"/>
      <c r="J329" s="41"/>
      <c r="K329" s="41"/>
    </row>
    <row r="330" spans="9:11" ht="15">
      <c r="I330" s="41"/>
      <c r="J330" s="41"/>
      <c r="K330" s="41"/>
    </row>
    <row r="331" spans="9:11" ht="15">
      <c r="I331" s="41"/>
      <c r="J331" s="41"/>
      <c r="K331" s="41"/>
    </row>
    <row r="332" spans="9:11" ht="15">
      <c r="I332" s="41"/>
      <c r="J332" s="41"/>
      <c r="K332" s="41"/>
    </row>
    <row r="333" spans="9:11" ht="15">
      <c r="I333" s="41"/>
      <c r="J333" s="41"/>
      <c r="K333" s="41"/>
    </row>
    <row r="334" spans="9:11" ht="15">
      <c r="I334" s="41"/>
      <c r="J334" s="41"/>
      <c r="K334" s="41"/>
    </row>
    <row r="335" spans="9:11" ht="15">
      <c r="I335" s="41"/>
      <c r="J335" s="41"/>
      <c r="K335" s="41"/>
    </row>
    <row r="336" spans="9:11" ht="15">
      <c r="I336" s="41"/>
      <c r="J336" s="41"/>
      <c r="K336" s="41"/>
    </row>
    <row r="337" spans="9:11" ht="15">
      <c r="I337" s="41"/>
      <c r="J337" s="41"/>
      <c r="K337" s="41"/>
    </row>
    <row r="338" spans="9:11" ht="15">
      <c r="I338" s="41"/>
      <c r="J338" s="41"/>
      <c r="K338" s="41"/>
    </row>
    <row r="339" spans="9:11" ht="15">
      <c r="I339" s="41"/>
      <c r="J339" s="41"/>
      <c r="K339" s="41"/>
    </row>
    <row r="340" spans="9:11" ht="15">
      <c r="I340" s="41"/>
      <c r="J340" s="41"/>
      <c r="K340" s="41"/>
    </row>
    <row r="433" spans="1:10" ht="15.75">
      <c r="A433" s="45"/>
      <c r="B433" s="45"/>
      <c r="C433" s="45"/>
      <c r="D433" s="198"/>
      <c r="E433" s="45"/>
      <c r="F433" s="45"/>
      <c r="G433" s="45"/>
      <c r="H433" s="45"/>
      <c r="I433" s="45"/>
      <c r="J433" s="45"/>
    </row>
    <row r="434" spans="1:10" ht="15.75">
      <c r="A434" s="45"/>
      <c r="B434" s="45"/>
      <c r="C434" s="45"/>
      <c r="D434" s="198"/>
      <c r="E434" s="45"/>
      <c r="F434" s="45"/>
      <c r="G434" s="45"/>
      <c r="H434" s="45"/>
      <c r="I434" s="45"/>
      <c r="J434" s="45"/>
    </row>
    <row r="435" spans="1:10" ht="15.75">
      <c r="A435" s="45"/>
      <c r="B435" s="45"/>
      <c r="C435" s="45"/>
      <c r="D435" s="198"/>
      <c r="E435" s="45"/>
      <c r="F435" s="45"/>
      <c r="G435" s="45"/>
      <c r="H435" s="45"/>
      <c r="I435" s="45"/>
      <c r="J435" s="45"/>
    </row>
    <row r="436" spans="1:10" ht="15.75">
      <c r="A436" s="45"/>
      <c r="B436" s="45"/>
      <c r="C436" s="45"/>
      <c r="D436" s="198"/>
      <c r="E436" s="45"/>
      <c r="F436" s="45"/>
      <c r="G436" s="45"/>
      <c r="H436" s="45"/>
      <c r="I436" s="45"/>
      <c r="J436" s="45"/>
    </row>
    <row r="437" spans="1:10" ht="15.75">
      <c r="A437" s="45"/>
      <c r="B437" s="45"/>
      <c r="C437" s="45"/>
      <c r="D437" s="198"/>
      <c r="E437" s="45"/>
      <c r="F437" s="45"/>
      <c r="G437" s="45"/>
      <c r="H437" s="45"/>
      <c r="I437" s="45"/>
      <c r="J437" s="45"/>
    </row>
    <row r="438" spans="1:10" ht="15.75">
      <c r="A438" s="45"/>
      <c r="B438" s="45"/>
      <c r="C438" s="45"/>
      <c r="D438" s="198"/>
      <c r="E438" s="45"/>
      <c r="F438" s="45"/>
      <c r="G438" s="45"/>
      <c r="H438" s="45"/>
      <c r="I438" s="45"/>
      <c r="J438" s="45"/>
    </row>
    <row r="439" spans="1:10" ht="15.75">
      <c r="A439" s="45"/>
      <c r="B439" s="45"/>
      <c r="C439" s="45"/>
      <c r="D439" s="198"/>
      <c r="E439" s="45"/>
      <c r="F439" s="45"/>
      <c r="G439" s="45"/>
      <c r="H439" s="45"/>
      <c r="I439" s="45"/>
      <c r="J439" s="45"/>
    </row>
    <row r="440" spans="1:10" ht="15.75">
      <c r="A440" s="45"/>
      <c r="B440" s="45"/>
      <c r="C440" s="45"/>
      <c r="D440" s="198"/>
      <c r="E440" s="45"/>
      <c r="F440" s="45"/>
      <c r="G440" s="45"/>
      <c r="H440" s="45"/>
      <c r="I440" s="45"/>
      <c r="J440" s="45"/>
    </row>
    <row r="441" spans="1:10" ht="15.75">
      <c r="A441" s="45"/>
      <c r="B441" s="45"/>
      <c r="C441" s="45"/>
      <c r="D441" s="198"/>
      <c r="E441" s="45"/>
      <c r="F441" s="45"/>
      <c r="G441" s="45"/>
      <c r="H441" s="45"/>
      <c r="I441" s="45"/>
      <c r="J441" s="45"/>
    </row>
    <row r="442" spans="1:10" ht="15.75">
      <c r="A442" s="45"/>
      <c r="B442" s="45"/>
      <c r="C442" s="45"/>
      <c r="D442" s="198"/>
      <c r="E442" s="45"/>
      <c r="F442" s="45"/>
      <c r="G442" s="45"/>
      <c r="H442" s="45"/>
      <c r="I442" s="45"/>
      <c r="J442" s="45"/>
    </row>
  </sheetData>
  <sheetProtection sheet="1" objects="1" scenarios="1"/>
  <mergeCells count="19">
    <mergeCell ref="A38:E38"/>
    <mergeCell ref="B11:C11"/>
    <mergeCell ref="B37:C37"/>
    <mergeCell ref="A24:E24"/>
    <mergeCell ref="A12:D12"/>
    <mergeCell ref="A19:B19"/>
    <mergeCell ref="A20:B20"/>
    <mergeCell ref="A21:B21"/>
    <mergeCell ref="B23:C23"/>
    <mergeCell ref="A6:B6"/>
    <mergeCell ref="A7:B7"/>
    <mergeCell ref="A4:C4"/>
    <mergeCell ref="A2:D2"/>
    <mergeCell ref="B50:D50"/>
    <mergeCell ref="A51:E51"/>
    <mergeCell ref="A8:B8"/>
    <mergeCell ref="A9:B9"/>
    <mergeCell ref="A22:B22"/>
    <mergeCell ref="A10:B10"/>
  </mergeCells>
  <printOptions horizontalCentered="1"/>
  <pageMargins left="0.5" right="0.5" top="0.5" bottom="0.5" header="0.5" footer="0.5"/>
  <pageSetup fitToHeight="1" fitToWidth="1" horizontalDpi="300" verticalDpi="300" orientation="landscape" scale="48" r:id="rId4"/>
  <headerFooter alignWithMargins="0">
    <oddFooter>&amp;L&amp;F&amp;CUniversity of Idaho&amp;R&amp;A</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K144"/>
  <sheetViews>
    <sheetView showGridLines="0" zoomScale="75" zoomScaleNormal="75" zoomScalePageLayoutView="0" workbookViewId="0" topLeftCell="A1">
      <selection activeCell="A2" sqref="A2"/>
    </sheetView>
  </sheetViews>
  <sheetFormatPr defaultColWidth="9.00390625" defaultRowHeight="14.25"/>
  <cols>
    <col min="1" max="1" width="25.50390625" style="1" customWidth="1"/>
    <col min="2" max="2" width="11.875" style="1" customWidth="1"/>
    <col min="3" max="5" width="13.625" style="1" customWidth="1"/>
    <col min="6" max="6" width="13.75390625" style="1" customWidth="1"/>
    <col min="7" max="10" width="13.625" style="1" customWidth="1"/>
    <col min="11" max="11" width="13.50390625" style="1" customWidth="1"/>
    <col min="12" max="16384" width="9.00390625" style="1" customWidth="1"/>
  </cols>
  <sheetData>
    <row r="1" spans="1:7" ht="18">
      <c r="A1" s="250" t="s">
        <v>154</v>
      </c>
      <c r="C1" s="251"/>
      <c r="D1" s="251"/>
      <c r="E1" s="251"/>
      <c r="F1" s="251"/>
      <c r="G1" s="251"/>
    </row>
    <row r="2" spans="1:7" ht="15">
      <c r="A2" s="251"/>
      <c r="C2" s="251"/>
      <c r="D2" s="251"/>
      <c r="E2" s="251"/>
      <c r="F2" s="251"/>
      <c r="G2" s="251"/>
    </row>
    <row r="3" spans="1:8" ht="15.75">
      <c r="A3" s="778" t="s">
        <v>227</v>
      </c>
      <c r="B3" s="779"/>
      <c r="C3" s="779"/>
      <c r="D3" s="779"/>
      <c r="E3" s="253" t="s">
        <v>107</v>
      </c>
      <c r="H3" s="253" t="s">
        <v>106</v>
      </c>
    </row>
    <row r="4" spans="2:8" ht="15.75">
      <c r="B4" s="23" t="str">
        <f aca="true" t="shared" si="0" ref="B4:B9">A16</f>
        <v>Potatoes: No-Storage</v>
      </c>
      <c r="C4" s="53"/>
      <c r="D4" s="254"/>
      <c r="E4" s="255">
        <f aca="true" t="shared" si="1" ref="E4:E9">IF(K16=0,"",E16/K16)</f>
        <v>0.8588744452981669</v>
      </c>
      <c r="F4" s="256"/>
      <c r="G4" s="251"/>
      <c r="H4" s="257">
        <f aca="true" t="shared" si="2" ref="H4:H9">IF(K16=0,"",H16/K16)</f>
        <v>0.14112555470183305</v>
      </c>
    </row>
    <row r="5" spans="2:8" ht="15.75">
      <c r="B5" s="23" t="str">
        <f t="shared" si="0"/>
        <v>Hard Red Spring Wheat</v>
      </c>
      <c r="C5" s="53"/>
      <c r="D5" s="254"/>
      <c r="E5" s="255">
        <f t="shared" si="1"/>
        <v>0.5995336792175778</v>
      </c>
      <c r="F5" s="256"/>
      <c r="G5" s="251"/>
      <c r="H5" s="257">
        <f t="shared" si="2"/>
        <v>0.4004663207824222</v>
      </c>
    </row>
    <row r="6" spans="2:8" ht="15.75">
      <c r="B6" s="23" t="str">
        <f t="shared" si="0"/>
        <v>Soft White Winter Wheat</v>
      </c>
      <c r="C6" s="53"/>
      <c r="D6" s="254"/>
      <c r="E6" s="255">
        <f t="shared" si="1"/>
        <v>0.5988515267785177</v>
      </c>
      <c r="F6" s="256"/>
      <c r="G6" s="251"/>
      <c r="H6" s="257">
        <f t="shared" si="2"/>
        <v>0.4011484732214823</v>
      </c>
    </row>
    <row r="7" spans="2:8" ht="15.75">
      <c r="B7" s="23" t="str">
        <f t="shared" si="0"/>
        <v>Malting Barley</v>
      </c>
      <c r="C7" s="53"/>
      <c r="D7" s="254"/>
      <c r="E7" s="255">
        <f t="shared" si="1"/>
        <v>0.571651244789415</v>
      </c>
      <c r="F7" s="256"/>
      <c r="G7" s="251"/>
      <c r="H7" s="257">
        <f t="shared" si="2"/>
        <v>0.4283487552105849</v>
      </c>
    </row>
    <row r="8" spans="2:8" ht="15.75">
      <c r="B8" s="23" t="str">
        <f t="shared" si="0"/>
        <v>Field Corn </v>
      </c>
      <c r="C8" s="53"/>
      <c r="D8" s="254"/>
      <c r="E8" s="255">
        <f t="shared" si="1"/>
        <v>0.6509395543661644</v>
      </c>
      <c r="F8" s="256"/>
      <c r="G8" s="251"/>
      <c r="H8" s="257">
        <f t="shared" si="2"/>
        <v>0.3490604456338356</v>
      </c>
    </row>
    <row r="9" spans="2:8" ht="15.75">
      <c r="B9" s="23" t="str">
        <f t="shared" si="0"/>
        <v>Sugarbeets</v>
      </c>
      <c r="C9" s="20"/>
      <c r="D9" s="20"/>
      <c r="E9" s="255">
        <f t="shared" si="1"/>
        <v>0.7962620884494187</v>
      </c>
      <c r="F9" s="256"/>
      <c r="G9" s="251"/>
      <c r="H9" s="257">
        <f t="shared" si="2"/>
        <v>0.20373791155058132</v>
      </c>
    </row>
    <row r="10" spans="3:8" ht="16.5" thickBot="1">
      <c r="C10" s="691" t="s">
        <v>259</v>
      </c>
      <c r="D10" s="20"/>
      <c r="E10" s="259">
        <f>IF(K23=0,"",E23/K23)</f>
        <v>0.7295282973505794</v>
      </c>
      <c r="F10" s="254"/>
      <c r="G10" s="251"/>
      <c r="H10" s="260">
        <f>IF(K23=0,"",H23/K23)</f>
        <v>0.2704717026494206</v>
      </c>
    </row>
    <row r="11" spans="3:8" ht="16.5" thickTop="1">
      <c r="C11" s="258"/>
      <c r="D11" s="20"/>
      <c r="E11" s="255"/>
      <c r="F11" s="256"/>
      <c r="G11" s="251"/>
      <c r="H11" s="257"/>
    </row>
    <row r="12" spans="1:11" ht="15.75">
      <c r="A12" s="103"/>
      <c r="B12" s="103"/>
      <c r="C12" s="103"/>
      <c r="D12" s="103"/>
      <c r="E12" s="103"/>
      <c r="F12" s="103"/>
      <c r="G12" s="261"/>
      <c r="H12" s="262"/>
      <c r="I12" s="262"/>
      <c r="J12" s="262"/>
      <c r="K12" s="262"/>
    </row>
    <row r="13" spans="1:11" ht="15.75">
      <c r="A13" s="263" t="s">
        <v>156</v>
      </c>
      <c r="B13" s="264" t="s">
        <v>27</v>
      </c>
      <c r="C13" s="784" t="s">
        <v>157</v>
      </c>
      <c r="D13" s="717"/>
      <c r="E13" s="717"/>
      <c r="F13" s="785" t="s">
        <v>158</v>
      </c>
      <c r="G13" s="786"/>
      <c r="H13" s="787"/>
      <c r="I13" s="781" t="s">
        <v>159</v>
      </c>
      <c r="J13" s="782"/>
      <c r="K13" s="783"/>
    </row>
    <row r="14" spans="1:11" ht="15.75">
      <c r="A14" s="20"/>
      <c r="C14" s="265" t="s">
        <v>160</v>
      </c>
      <c r="D14" s="265" t="s">
        <v>161</v>
      </c>
      <c r="E14" s="265" t="s">
        <v>13</v>
      </c>
      <c r="F14" s="266" t="s">
        <v>160</v>
      </c>
      <c r="G14" s="266" t="s">
        <v>161</v>
      </c>
      <c r="H14" s="266" t="s">
        <v>13</v>
      </c>
      <c r="I14" s="267" t="s">
        <v>160</v>
      </c>
      <c r="J14" s="267" t="s">
        <v>161</v>
      </c>
      <c r="K14" s="267" t="s">
        <v>13</v>
      </c>
    </row>
    <row r="15" spans="1:11" ht="7.5" customHeight="1">
      <c r="A15" s="20"/>
      <c r="C15" s="268"/>
      <c r="D15" s="268"/>
      <c r="E15" s="268"/>
      <c r="F15" s="269"/>
      <c r="G15" s="270"/>
      <c r="H15" s="271"/>
      <c r="I15" s="272"/>
      <c r="J15" s="272"/>
      <c r="K15" s="272"/>
    </row>
    <row r="16" spans="1:11" ht="15.75">
      <c r="A16" s="20" t="str">
        <f>Crops!B10</f>
        <v>Potatoes: No-Storage</v>
      </c>
      <c r="B16" s="1">
        <f>Crops!B12</f>
        <v>100</v>
      </c>
      <c r="C16" s="273">
        <f>Crop1!H46</f>
        <v>121432.5</v>
      </c>
      <c r="D16" s="273">
        <f>Ownership!I55*Crops!B12</f>
        <v>15500</v>
      </c>
      <c r="E16" s="273">
        <f aca="true" t="shared" si="3" ref="E16:E21">C16+D16</f>
        <v>136932.5</v>
      </c>
      <c r="F16" s="274">
        <f>Crop1!I46</f>
        <v>0</v>
      </c>
      <c r="G16" s="275">
        <f>Ownership!$F$55*Crops!B12</f>
        <v>22500</v>
      </c>
      <c r="H16" s="276">
        <f aca="true" t="shared" si="4" ref="H16:H21">F16+G16</f>
        <v>22500</v>
      </c>
      <c r="I16" s="277">
        <f aca="true" t="shared" si="5" ref="I16:J21">C16+F16</f>
        <v>121432.5</v>
      </c>
      <c r="J16" s="277">
        <f t="shared" si="5"/>
        <v>38000</v>
      </c>
      <c r="K16" s="277">
        <f aca="true" t="shared" si="6" ref="K16:K21">I16+J16</f>
        <v>159432.5</v>
      </c>
    </row>
    <row r="17" spans="1:11" ht="15.75">
      <c r="A17" s="20" t="str">
        <f>Crops!C10</f>
        <v>Hard Red Spring Wheat</v>
      </c>
      <c r="B17" s="1">
        <f>Crops!C12</f>
        <v>100</v>
      </c>
      <c r="C17" s="273">
        <f>Crop2!H46</f>
        <v>29444.5</v>
      </c>
      <c r="D17" s="273">
        <f>Ownership!L55*Crops!C12</f>
        <v>4240</v>
      </c>
      <c r="E17" s="273">
        <f t="shared" si="3"/>
        <v>33684.5</v>
      </c>
      <c r="F17" s="274">
        <f>Crop2!I46</f>
        <v>0</v>
      </c>
      <c r="G17" s="275">
        <f>Ownership!$F$55*Crops!C12</f>
        <v>22500</v>
      </c>
      <c r="H17" s="276">
        <f t="shared" si="4"/>
        <v>22500</v>
      </c>
      <c r="I17" s="277">
        <f t="shared" si="5"/>
        <v>29444.5</v>
      </c>
      <c r="J17" s="277">
        <f t="shared" si="5"/>
        <v>26740</v>
      </c>
      <c r="K17" s="277">
        <f t="shared" si="6"/>
        <v>56184.5</v>
      </c>
    </row>
    <row r="18" spans="1:11" ht="15.75">
      <c r="A18" s="20" t="str">
        <f>Crops!D10</f>
        <v>Soft White Winter Wheat</v>
      </c>
      <c r="B18" s="1">
        <f>Crops!D12</f>
        <v>100</v>
      </c>
      <c r="C18" s="273">
        <f>Crop3!H46</f>
        <v>29428.958333333332</v>
      </c>
      <c r="D18" s="273">
        <f>Ownership!O55*Crops!D12</f>
        <v>4160</v>
      </c>
      <c r="E18" s="273">
        <f t="shared" si="3"/>
        <v>33588.95833333333</v>
      </c>
      <c r="F18" s="274">
        <f>Crop3!I46</f>
        <v>0</v>
      </c>
      <c r="G18" s="275">
        <f>Ownership!$F$55*Crops!D12</f>
        <v>22500</v>
      </c>
      <c r="H18" s="276">
        <f t="shared" si="4"/>
        <v>22500</v>
      </c>
      <c r="I18" s="277">
        <f t="shared" si="5"/>
        <v>29428.958333333332</v>
      </c>
      <c r="J18" s="277">
        <f t="shared" si="5"/>
        <v>26660</v>
      </c>
      <c r="K18" s="277">
        <f t="shared" si="6"/>
        <v>56088.95833333333</v>
      </c>
    </row>
    <row r="19" spans="1:11" ht="15.75">
      <c r="A19" s="20" t="str">
        <f>Crops!E10</f>
        <v>Malting Barley</v>
      </c>
      <c r="B19" s="1">
        <f>Crops!E12</f>
        <v>100</v>
      </c>
      <c r="C19" s="273">
        <f>Crop4!H46</f>
        <v>24727.291666666668</v>
      </c>
      <c r="D19" s="273">
        <f>Ownership!R55*Crops!E12</f>
        <v>5300</v>
      </c>
      <c r="E19" s="273">
        <f t="shared" si="3"/>
        <v>30027.291666666668</v>
      </c>
      <c r="F19" s="274">
        <f>Crop4!I46</f>
        <v>0</v>
      </c>
      <c r="G19" s="275">
        <f>Ownership!$F$55*Crops!E12</f>
        <v>22500</v>
      </c>
      <c r="H19" s="276">
        <f t="shared" si="4"/>
        <v>22500</v>
      </c>
      <c r="I19" s="277">
        <f t="shared" si="5"/>
        <v>24727.291666666668</v>
      </c>
      <c r="J19" s="277">
        <f t="shared" si="5"/>
        <v>27800</v>
      </c>
      <c r="K19" s="277">
        <f t="shared" si="6"/>
        <v>52527.29166666667</v>
      </c>
    </row>
    <row r="20" spans="1:11" ht="15.75">
      <c r="A20" s="20" t="str">
        <f>Crops!F10</f>
        <v>Field Corn </v>
      </c>
      <c r="B20" s="1">
        <f>Crops!F12</f>
        <v>100</v>
      </c>
      <c r="C20" s="273">
        <f>Crop5!H46</f>
        <v>36758.75</v>
      </c>
      <c r="D20" s="273">
        <f>Ownership!U55*Crops!F12</f>
        <v>5200</v>
      </c>
      <c r="E20" s="273">
        <f t="shared" si="3"/>
        <v>41958.75</v>
      </c>
      <c r="F20" s="274">
        <f>Crop5!I46</f>
        <v>0</v>
      </c>
      <c r="G20" s="275">
        <f>Ownership!$F$55*Crops!F12</f>
        <v>22500</v>
      </c>
      <c r="H20" s="276">
        <f t="shared" si="4"/>
        <v>22500</v>
      </c>
      <c r="I20" s="277">
        <f t="shared" si="5"/>
        <v>36758.75</v>
      </c>
      <c r="J20" s="277">
        <f t="shared" si="5"/>
        <v>27700</v>
      </c>
      <c r="K20" s="277">
        <f t="shared" si="6"/>
        <v>64458.75</v>
      </c>
    </row>
    <row r="21" spans="1:11" ht="15.75">
      <c r="A21" s="20" t="str">
        <f>Crops!G10</f>
        <v>Sugarbeets</v>
      </c>
      <c r="B21" s="1">
        <f>Crops!G12</f>
        <v>100</v>
      </c>
      <c r="C21" s="273">
        <f>Crop6!H46</f>
        <v>69736</v>
      </c>
      <c r="D21" s="273">
        <f>Ownership!X55*Crops!G12</f>
        <v>18200</v>
      </c>
      <c r="E21" s="273">
        <f t="shared" si="3"/>
        <v>87936</v>
      </c>
      <c r="F21" s="274">
        <f>Crop6!I46</f>
        <v>0</v>
      </c>
      <c r="G21" s="275">
        <f>Ownership!$F$55*Crops!G12</f>
        <v>22500</v>
      </c>
      <c r="H21" s="276">
        <f t="shared" si="4"/>
        <v>22500</v>
      </c>
      <c r="I21" s="277">
        <f t="shared" si="5"/>
        <v>69736</v>
      </c>
      <c r="J21" s="277">
        <f t="shared" si="5"/>
        <v>40700</v>
      </c>
      <c r="K21" s="277">
        <f t="shared" si="6"/>
        <v>110436</v>
      </c>
    </row>
    <row r="22" spans="1:11" ht="15.75">
      <c r="A22" s="20"/>
      <c r="C22" s="273"/>
      <c r="D22" s="273"/>
      <c r="E22" s="273"/>
      <c r="F22" s="274"/>
      <c r="G22" s="275"/>
      <c r="H22" s="276"/>
      <c r="I22" s="277"/>
      <c r="J22" s="277"/>
      <c r="K22" s="277"/>
    </row>
    <row r="23" spans="1:11" ht="15.75">
      <c r="A23" s="70" t="s">
        <v>162</v>
      </c>
      <c r="B23" s="20">
        <f aca="true" t="shared" si="7" ref="B23:K23">SUM(B16:B21)</f>
        <v>600</v>
      </c>
      <c r="C23" s="273">
        <f t="shared" si="7"/>
        <v>311528</v>
      </c>
      <c r="D23" s="273">
        <f t="shared" si="7"/>
        <v>52600</v>
      </c>
      <c r="E23" s="278">
        <f t="shared" si="7"/>
        <v>364128</v>
      </c>
      <c r="F23" s="274">
        <f t="shared" si="7"/>
        <v>0</v>
      </c>
      <c r="G23" s="274">
        <f t="shared" si="7"/>
        <v>135000</v>
      </c>
      <c r="H23" s="279">
        <f t="shared" si="7"/>
        <v>135000</v>
      </c>
      <c r="I23" s="280">
        <f t="shared" si="7"/>
        <v>311528</v>
      </c>
      <c r="J23" s="280">
        <f t="shared" si="7"/>
        <v>187600</v>
      </c>
      <c r="K23" s="281">
        <f t="shared" si="7"/>
        <v>499128</v>
      </c>
    </row>
    <row r="24" spans="1:11" ht="15.75">
      <c r="A24" s="162" t="s">
        <v>31</v>
      </c>
      <c r="B24" s="103"/>
      <c r="C24" s="282"/>
      <c r="D24" s="282"/>
      <c r="E24" s="283">
        <f>IF(K23=0,"",E23/K23)</f>
        <v>0.7295282973505794</v>
      </c>
      <c r="F24" s="284"/>
      <c r="G24" s="285"/>
      <c r="H24" s="286">
        <f>IF(K23=0,"",H23/K23)</f>
        <v>0.2704717026494206</v>
      </c>
      <c r="I24" s="287"/>
      <c r="J24" s="287"/>
      <c r="K24" s="288">
        <f>IF(K23=0,"",(E23+H23)/K23)</f>
        <v>1</v>
      </c>
    </row>
    <row r="25" spans="1:8" ht="15.75">
      <c r="A25" s="20"/>
      <c r="B25" s="20"/>
      <c r="C25" s="289"/>
      <c r="D25" s="289"/>
      <c r="E25" s="289"/>
      <c r="F25" s="289"/>
      <c r="G25" s="290"/>
      <c r="H25" s="291"/>
    </row>
    <row r="26" spans="1:8" ht="15.75">
      <c r="A26" s="20"/>
      <c r="B26" s="20"/>
      <c r="C26" s="289"/>
      <c r="D26" s="289"/>
      <c r="E26" s="289"/>
      <c r="F26" s="289"/>
      <c r="G26" s="290"/>
      <c r="H26" s="291"/>
    </row>
    <row r="27" spans="1:8" ht="18">
      <c r="A27" s="250" t="s">
        <v>163</v>
      </c>
      <c r="C27" s="289"/>
      <c r="D27" s="289"/>
      <c r="E27" s="289"/>
      <c r="F27" s="289"/>
      <c r="G27" s="290"/>
      <c r="H27" s="291"/>
    </row>
    <row r="28" spans="1:9" ht="18">
      <c r="A28" s="250"/>
      <c r="C28" s="289"/>
      <c r="D28" s="289"/>
      <c r="E28" s="289"/>
      <c r="F28" s="599" t="s">
        <v>283</v>
      </c>
      <c r="H28" s="291"/>
      <c r="I28" s="1" t="s">
        <v>284</v>
      </c>
    </row>
    <row r="29" spans="1:7" ht="15.75">
      <c r="A29" s="292" t="s">
        <v>164</v>
      </c>
      <c r="B29" s="292"/>
      <c r="C29" s="292"/>
      <c r="D29" s="293"/>
      <c r="E29" s="293"/>
      <c r="F29" s="294"/>
      <c r="G29" s="251"/>
    </row>
    <row r="30" spans="1:11" ht="15.75">
      <c r="A30" s="295"/>
      <c r="B30" s="196"/>
      <c r="F30" s="296" t="s">
        <v>107</v>
      </c>
      <c r="G30" s="297" t="s">
        <v>106</v>
      </c>
      <c r="H30" s="298" t="s">
        <v>13</v>
      </c>
      <c r="I30" s="296" t="s">
        <v>107</v>
      </c>
      <c r="J30" s="297" t="s">
        <v>106</v>
      </c>
      <c r="K30" s="298" t="s">
        <v>13</v>
      </c>
    </row>
    <row r="31" spans="1:11" ht="15">
      <c r="A31" s="780" t="s">
        <v>165</v>
      </c>
      <c r="B31" s="775"/>
      <c r="C31" s="775"/>
      <c r="D31" s="775"/>
      <c r="E31" s="775"/>
      <c r="F31" s="302">
        <f>F50+F63+F76+F88+F101+F114</f>
        <v>419466.2097251597</v>
      </c>
      <c r="G31" s="302">
        <f>G50+G63+G76+G88+G101+G114</f>
        <v>149383.79027484028</v>
      </c>
      <c r="H31" s="302">
        <f>H50+H63+H76+H88+H101+H114</f>
        <v>568850</v>
      </c>
      <c r="I31" s="601">
        <f>Crops!H16*CropShare!E24</f>
        <v>414992.1719478771</v>
      </c>
      <c r="J31" s="601">
        <f>Crops!H16*CropShare!H24</f>
        <v>153857.8280521229</v>
      </c>
      <c r="K31" s="601">
        <f>I31+J31</f>
        <v>568850</v>
      </c>
    </row>
    <row r="32" spans="1:11" ht="15.75">
      <c r="A32" s="299"/>
      <c r="B32" s="300"/>
      <c r="C32" s="300"/>
      <c r="D32" s="300"/>
      <c r="E32" s="300"/>
      <c r="F32" s="301"/>
      <c r="G32" s="301"/>
      <c r="H32" s="302"/>
      <c r="I32" s="596"/>
      <c r="J32" s="596"/>
      <c r="K32" s="600"/>
    </row>
    <row r="33" spans="1:11" ht="15.75">
      <c r="A33" s="780" t="s">
        <v>166</v>
      </c>
      <c r="B33" s="775"/>
      <c r="C33" s="775"/>
      <c r="D33" s="775"/>
      <c r="E33" s="775"/>
      <c r="F33" s="303">
        <f>Crop1!H40+Crop2!H40+Crop3!H40+Crop4!H40+Crop5!H40+Crop6!H40</f>
        <v>276728</v>
      </c>
      <c r="G33" s="303">
        <f>Crop1!I40+Crop2!I40+Crop3!I40+Crop4!I40+Crop5!I40+Crop6!I40</f>
        <v>0</v>
      </c>
      <c r="H33" s="302">
        <f>F33+G33</f>
        <v>276728</v>
      </c>
      <c r="I33" s="141"/>
      <c r="J33" s="141"/>
      <c r="K33" s="141"/>
    </row>
    <row r="34" spans="1:11" ht="15.75">
      <c r="A34" s="775" t="s">
        <v>167</v>
      </c>
      <c r="B34" s="775"/>
      <c r="C34" s="775"/>
      <c r="D34" s="775"/>
      <c r="E34" s="775"/>
      <c r="F34" s="301">
        <f>F31-F33</f>
        <v>142738.2097251597</v>
      </c>
      <c r="G34" s="301">
        <f>G31-G33</f>
        <v>149383.79027484028</v>
      </c>
      <c r="H34" s="301">
        <f>H31-H33</f>
        <v>292122</v>
      </c>
      <c r="I34" s="141"/>
      <c r="J34" s="141"/>
      <c r="K34" s="141"/>
    </row>
    <row r="35" spans="1:11" ht="15.75">
      <c r="A35" s="300"/>
      <c r="B35" s="300"/>
      <c r="C35" s="300"/>
      <c r="D35" s="300"/>
      <c r="E35" s="300"/>
      <c r="F35" s="301"/>
      <c r="G35" s="301"/>
      <c r="H35" s="301"/>
      <c r="I35" s="141"/>
      <c r="J35" s="141"/>
      <c r="K35" s="141"/>
    </row>
    <row r="36" spans="1:11" ht="15.75">
      <c r="A36" s="788" t="s">
        <v>168</v>
      </c>
      <c r="B36" s="775"/>
      <c r="C36" s="775"/>
      <c r="D36" s="775"/>
      <c r="E36" s="775"/>
      <c r="F36" s="301">
        <f>E23</f>
        <v>364128</v>
      </c>
      <c r="G36" s="304">
        <f>H23</f>
        <v>135000</v>
      </c>
      <c r="H36" s="302">
        <f>F36+G36</f>
        <v>499128</v>
      </c>
      <c r="I36" s="141"/>
      <c r="J36" s="141"/>
      <c r="K36" s="141"/>
    </row>
    <row r="37" spans="1:11" ht="15.75">
      <c r="A37" s="788" t="s">
        <v>169</v>
      </c>
      <c r="B37" s="775"/>
      <c r="C37" s="775"/>
      <c r="D37" s="775"/>
      <c r="E37" s="775"/>
      <c r="F37" s="304">
        <f>F31-F36</f>
        <v>55338.209725159686</v>
      </c>
      <c r="G37" s="304">
        <f>G31-G36</f>
        <v>14383.790274840285</v>
      </c>
      <c r="H37" s="302">
        <f>F37+G37</f>
        <v>69721.99999999997</v>
      </c>
      <c r="I37" s="469"/>
      <c r="J37" s="469"/>
      <c r="K37" s="469"/>
    </row>
    <row r="38" spans="1:11" ht="15.75">
      <c r="A38" s="258"/>
      <c r="B38" s="300"/>
      <c r="C38" s="300"/>
      <c r="D38" s="300"/>
      <c r="E38" s="300"/>
      <c r="F38" s="301"/>
      <c r="G38" s="301"/>
      <c r="H38" s="302"/>
      <c r="I38" s="141"/>
      <c r="J38" s="596"/>
      <c r="K38" s="141"/>
    </row>
    <row r="39" spans="1:8" ht="15.75">
      <c r="A39" s="788" t="s">
        <v>170</v>
      </c>
      <c r="B39" s="775"/>
      <c r="C39" s="775"/>
      <c r="D39" s="775"/>
      <c r="E39" s="775"/>
      <c r="F39" s="304">
        <f>F37/B23</f>
        <v>92.23034954193281</v>
      </c>
      <c r="G39" s="304">
        <f>G37/B23</f>
        <v>23.972983791400473</v>
      </c>
      <c r="H39" s="304">
        <f>H37/B23</f>
        <v>116.20333333333329</v>
      </c>
    </row>
    <row r="40" spans="1:8" ht="15.75">
      <c r="A40" s="258"/>
      <c r="B40" s="300"/>
      <c r="C40" s="300"/>
      <c r="D40" s="300"/>
      <c r="E40" s="300"/>
      <c r="F40" s="305"/>
      <c r="G40" s="305"/>
      <c r="H40" s="305"/>
    </row>
    <row r="41" spans="1:8" ht="15.75">
      <c r="A41" s="258"/>
      <c r="B41" s="300"/>
      <c r="C41" s="300"/>
      <c r="D41" s="300"/>
      <c r="E41" s="300"/>
      <c r="F41" s="305"/>
      <c r="G41" s="305"/>
      <c r="H41" s="305"/>
    </row>
    <row r="42" spans="1:8" ht="18">
      <c r="A42" s="250" t="s">
        <v>163</v>
      </c>
      <c r="B42" s="300"/>
      <c r="C42" s="300"/>
      <c r="D42" s="300"/>
      <c r="E42" s="300"/>
      <c r="F42" s="305"/>
      <c r="G42" s="305"/>
      <c r="H42" s="305"/>
    </row>
    <row r="43" spans="1:8" ht="18">
      <c r="A43" s="250"/>
      <c r="B43" s="300"/>
      <c r="C43" s="300"/>
      <c r="D43" s="300"/>
      <c r="E43" s="300"/>
      <c r="F43" s="305"/>
      <c r="G43" s="305"/>
      <c r="H43" s="305"/>
    </row>
    <row r="44" spans="1:7" ht="15.75">
      <c r="A44" s="306" t="s">
        <v>171</v>
      </c>
      <c r="C44" s="305"/>
      <c r="D44" s="305"/>
      <c r="F44" s="307"/>
      <c r="G44" s="256"/>
    </row>
    <row r="45" spans="1:7" ht="15.75">
      <c r="A45" s="23" t="s">
        <v>172</v>
      </c>
      <c r="C45" s="305"/>
      <c r="D45" s="305"/>
      <c r="F45" s="307"/>
      <c r="G45" s="256"/>
    </row>
    <row r="46" spans="3:8" ht="15.75">
      <c r="C46" s="308"/>
      <c r="D46" s="308"/>
      <c r="E46" s="307"/>
      <c r="F46" s="296" t="s">
        <v>107</v>
      </c>
      <c r="G46" s="297" t="s">
        <v>106</v>
      </c>
      <c r="H46" s="298" t="s">
        <v>13</v>
      </c>
    </row>
    <row r="47" spans="3:7" ht="15.75">
      <c r="C47" s="771" t="str">
        <f>A16</f>
        <v>Potatoes: No-Storage</v>
      </c>
      <c r="D47" s="470">
        <f>CropShare!B16</f>
        <v>100</v>
      </c>
      <c r="E47" s="471" t="s">
        <v>27</v>
      </c>
      <c r="F47" s="256"/>
      <c r="G47" s="251"/>
    </row>
    <row r="48" spans="3:8" ht="15.75">
      <c r="C48" s="772"/>
      <c r="D48" s="776" t="s">
        <v>173</v>
      </c>
      <c r="E48" s="775"/>
      <c r="F48" s="310">
        <f>IF(E4="",0,E4)</f>
        <v>0.8588744452981669</v>
      </c>
      <c r="G48" s="311">
        <f>IF(H4="",0,H4)</f>
        <v>0.14112555470183305</v>
      </c>
      <c r="H48" s="312">
        <f>F48+G48</f>
        <v>1</v>
      </c>
    </row>
    <row r="49" spans="3:8" ht="15.75">
      <c r="C49" s="252"/>
      <c r="D49" s="776" t="s">
        <v>174</v>
      </c>
      <c r="E49" s="775"/>
      <c r="F49" s="313">
        <f>F48*Crops!B13</f>
        <v>300.60605585435843</v>
      </c>
      <c r="G49" s="314">
        <f>G48*Crops!B13</f>
        <v>49.39394414564157</v>
      </c>
      <c r="H49" s="315">
        <f>F49+G49</f>
        <v>350</v>
      </c>
    </row>
    <row r="50" spans="1:9" ht="15.75">
      <c r="A50" s="20"/>
      <c r="B50" s="20"/>
      <c r="C50" s="20"/>
      <c r="D50" s="776" t="s">
        <v>175</v>
      </c>
      <c r="E50" s="775"/>
      <c r="F50" s="316">
        <f>F48*H50</f>
        <v>172848.48211625608</v>
      </c>
      <c r="G50" s="317">
        <f>G48*H50</f>
        <v>28401.5178837439</v>
      </c>
      <c r="H50" s="316">
        <f>Crops!B16</f>
        <v>201250</v>
      </c>
      <c r="I50" s="291"/>
    </row>
    <row r="51" spans="1:9" ht="15.75">
      <c r="A51" s="20"/>
      <c r="B51" s="20"/>
      <c r="C51" s="20"/>
      <c r="D51" s="309"/>
      <c r="E51" s="318"/>
      <c r="F51" s="316"/>
      <c r="G51" s="317"/>
      <c r="H51" s="316"/>
      <c r="I51" s="291"/>
    </row>
    <row r="52" spans="1:9" ht="15.75">
      <c r="A52" s="20"/>
      <c r="B52" s="20"/>
      <c r="C52" s="20"/>
      <c r="D52" s="774" t="s">
        <v>176</v>
      </c>
      <c r="E52" s="775"/>
      <c r="F52" s="316">
        <f>Crop1!H40</f>
        <v>108532.5</v>
      </c>
      <c r="G52" s="317">
        <f>Crop1!I40</f>
        <v>0</v>
      </c>
      <c r="H52" s="319">
        <f>F52+G52</f>
        <v>108532.5</v>
      </c>
      <c r="I52" s="291"/>
    </row>
    <row r="53" spans="1:9" ht="15.75">
      <c r="A53" s="20"/>
      <c r="B53" s="20"/>
      <c r="C53" s="20"/>
      <c r="D53" s="776" t="s">
        <v>167</v>
      </c>
      <c r="E53" s="775"/>
      <c r="F53" s="316">
        <f>F50-F52</f>
        <v>64315.982116256084</v>
      </c>
      <c r="G53" s="316">
        <f>G50-G52</f>
        <v>28401.5178837439</v>
      </c>
      <c r="H53" s="319">
        <f>F53+G53</f>
        <v>92717.49999999999</v>
      </c>
      <c r="I53" s="291"/>
    </row>
    <row r="54" spans="1:9" ht="15.75">
      <c r="A54" s="20"/>
      <c r="B54" s="20"/>
      <c r="C54" s="20"/>
      <c r="D54" s="309"/>
      <c r="E54" s="318"/>
      <c r="F54" s="316"/>
      <c r="G54" s="316"/>
      <c r="H54" s="316"/>
      <c r="I54" s="291"/>
    </row>
    <row r="55" spans="1:9" ht="15">
      <c r="A55" s="251"/>
      <c r="B55" s="251"/>
      <c r="C55" s="251"/>
      <c r="D55" s="777" t="s">
        <v>159</v>
      </c>
      <c r="E55" s="775"/>
      <c r="F55" s="317">
        <f>E16</f>
        <v>136932.5</v>
      </c>
      <c r="G55" s="317">
        <f>H16</f>
        <v>22500</v>
      </c>
      <c r="H55" s="319">
        <f>K16</f>
        <v>159432.5</v>
      </c>
      <c r="I55" s="291"/>
    </row>
    <row r="56" spans="1:9" ht="15">
      <c r="A56" s="320"/>
      <c r="D56" s="774" t="s">
        <v>177</v>
      </c>
      <c r="E56" s="775"/>
      <c r="F56" s="319">
        <f>F50-F55</f>
        <v>35915.982116256084</v>
      </c>
      <c r="G56" s="319">
        <f>G50-G55</f>
        <v>5901.517883743902</v>
      </c>
      <c r="H56" s="319">
        <f>F56+G56</f>
        <v>41817.499999999985</v>
      </c>
      <c r="I56" s="291"/>
    </row>
    <row r="57" spans="4:9" ht="15">
      <c r="D57" s="773" t="s">
        <v>224</v>
      </c>
      <c r="E57" s="774"/>
      <c r="F57" s="319">
        <f>IF(B16=0,0,F56/B16)</f>
        <v>359.15982116256083</v>
      </c>
      <c r="G57" s="319">
        <f>IF(B16=0,0,G56/B16)</f>
        <v>59.01517883743902</v>
      </c>
      <c r="H57" s="319">
        <f>F57+G57</f>
        <v>418.17499999999984</v>
      </c>
      <c r="I57" s="291"/>
    </row>
    <row r="58" spans="4:9" ht="15">
      <c r="D58" s="411"/>
      <c r="E58" s="411"/>
      <c r="F58" s="412"/>
      <c r="G58" s="412"/>
      <c r="H58" s="412"/>
      <c r="I58" s="291"/>
    </row>
    <row r="59" spans="6:9" ht="15">
      <c r="F59" s="291"/>
      <c r="G59" s="291"/>
      <c r="H59" s="291"/>
      <c r="I59" s="291"/>
    </row>
    <row r="60" spans="2:9" ht="15">
      <c r="B60" s="326"/>
      <c r="C60" s="768" t="str">
        <f>A17</f>
        <v>Hard Red Spring Wheat</v>
      </c>
      <c r="D60" s="472">
        <f>B17</f>
        <v>100</v>
      </c>
      <c r="E60" s="473" t="s">
        <v>27</v>
      </c>
      <c r="F60" s="291"/>
      <c r="G60" s="291"/>
      <c r="H60" s="291"/>
      <c r="I60" s="291"/>
    </row>
    <row r="61" spans="3:9" ht="15.75">
      <c r="C61" s="768"/>
      <c r="D61" s="776" t="s">
        <v>173</v>
      </c>
      <c r="E61" s="775"/>
      <c r="F61" s="312">
        <f>IF(E5="",0,E5)</f>
        <v>0.5995336792175778</v>
      </c>
      <c r="G61" s="312">
        <f>IF(H5="",0,H5)</f>
        <v>0.4004663207824222</v>
      </c>
      <c r="H61" s="322">
        <f>F61+G61</f>
        <v>1</v>
      </c>
      <c r="I61" s="291"/>
    </row>
    <row r="62" spans="3:9" ht="15.75">
      <c r="C62" s="321"/>
      <c r="D62" s="776" t="s">
        <v>174</v>
      </c>
      <c r="E62" s="775"/>
      <c r="F62" s="323">
        <f>F61*Crops!C13</f>
        <v>59.95336792175778</v>
      </c>
      <c r="G62" s="323">
        <f>G61*Crops!C13</f>
        <v>40.046632078242226</v>
      </c>
      <c r="H62" s="323">
        <f>F62+G62</f>
        <v>100</v>
      </c>
      <c r="I62" s="291"/>
    </row>
    <row r="63" spans="4:9" ht="15.75">
      <c r="D63" s="776" t="s">
        <v>175</v>
      </c>
      <c r="E63" s="775"/>
      <c r="F63" s="319">
        <f>F61*H63</f>
        <v>38370.15546992498</v>
      </c>
      <c r="G63" s="319">
        <f>G61*H63</f>
        <v>25629.84453007502</v>
      </c>
      <c r="H63" s="319">
        <f>Crops!C16</f>
        <v>64000</v>
      </c>
      <c r="I63" s="291"/>
    </row>
    <row r="64" spans="4:9" ht="15.75">
      <c r="D64" s="309"/>
      <c r="E64" s="318"/>
      <c r="F64" s="319"/>
      <c r="G64" s="319"/>
      <c r="H64" s="319"/>
      <c r="I64" s="291"/>
    </row>
    <row r="65" spans="4:9" ht="15">
      <c r="D65" s="774" t="s">
        <v>176</v>
      </c>
      <c r="E65" s="775"/>
      <c r="F65" s="319">
        <f>Crop2!H40</f>
        <v>26544.5</v>
      </c>
      <c r="G65" s="319">
        <f>Crop2!I40</f>
        <v>0</v>
      </c>
      <c r="H65" s="319">
        <f>F65+G65</f>
        <v>26544.5</v>
      </c>
      <c r="I65" s="291"/>
    </row>
    <row r="66" spans="4:9" ht="15.75">
      <c r="D66" s="776" t="s">
        <v>167</v>
      </c>
      <c r="E66" s="775"/>
      <c r="F66" s="316">
        <f>F63-F65</f>
        <v>11825.655469924983</v>
      </c>
      <c r="G66" s="316">
        <f>G63-G65</f>
        <v>25629.84453007502</v>
      </c>
      <c r="H66" s="316">
        <f>F66+G66</f>
        <v>37455.5</v>
      </c>
      <c r="I66" s="291"/>
    </row>
    <row r="67" spans="4:9" ht="15.75">
      <c r="D67" s="309"/>
      <c r="E67" s="318"/>
      <c r="F67" s="319"/>
      <c r="G67" s="319"/>
      <c r="H67" s="319"/>
      <c r="I67" s="291"/>
    </row>
    <row r="68" spans="4:9" ht="15">
      <c r="D68" s="777" t="s">
        <v>159</v>
      </c>
      <c r="E68" s="775"/>
      <c r="F68" s="319">
        <f>E17</f>
        <v>33684.5</v>
      </c>
      <c r="G68" s="319">
        <f>H17</f>
        <v>22500</v>
      </c>
      <c r="H68" s="319">
        <f>K17</f>
        <v>56184.5</v>
      </c>
      <c r="I68" s="291"/>
    </row>
    <row r="69" spans="4:9" ht="15">
      <c r="D69" s="774" t="s">
        <v>177</v>
      </c>
      <c r="E69" s="775"/>
      <c r="F69" s="319">
        <f>F63-F68</f>
        <v>4685.655469924983</v>
      </c>
      <c r="G69" s="319">
        <f>G63-G68</f>
        <v>3129.844530075021</v>
      </c>
      <c r="H69" s="319">
        <f>F69+G69</f>
        <v>7815.500000000004</v>
      </c>
      <c r="I69" s="291"/>
    </row>
    <row r="70" spans="4:9" ht="15">
      <c r="D70" s="773" t="s">
        <v>224</v>
      </c>
      <c r="E70" s="774"/>
      <c r="F70" s="319">
        <f>IF(B17=0,0,F69/B17)</f>
        <v>46.85655469924983</v>
      </c>
      <c r="G70" s="319">
        <f>IF(B17=0,0,G69/B17)</f>
        <v>31.29844530075021</v>
      </c>
      <c r="H70" s="319">
        <f>F70+G70</f>
        <v>78.15500000000003</v>
      </c>
      <c r="I70" s="291"/>
    </row>
    <row r="71" spans="6:9" ht="15">
      <c r="F71" s="291"/>
      <c r="G71" s="291"/>
      <c r="H71" s="291"/>
      <c r="I71" s="291"/>
    </row>
    <row r="72" spans="6:9" ht="15">
      <c r="F72" s="291"/>
      <c r="G72" s="291"/>
      <c r="H72" s="291"/>
      <c r="I72" s="291"/>
    </row>
    <row r="73" spans="2:9" ht="15">
      <c r="B73" s="326"/>
      <c r="C73" s="768" t="str">
        <f>A18</f>
        <v>Soft White Winter Wheat</v>
      </c>
      <c r="D73" s="472">
        <f>B18</f>
        <v>100</v>
      </c>
      <c r="E73" s="473" t="s">
        <v>27</v>
      </c>
      <c r="F73" s="291"/>
      <c r="G73" s="291"/>
      <c r="H73" s="291"/>
      <c r="I73" s="291"/>
    </row>
    <row r="74" spans="3:9" ht="15.75">
      <c r="C74" s="768"/>
      <c r="D74" s="776" t="s">
        <v>173</v>
      </c>
      <c r="E74" s="775"/>
      <c r="F74" s="312">
        <f>IF(E6="",0,E6)</f>
        <v>0.5988515267785177</v>
      </c>
      <c r="G74" s="312">
        <f>IF(H6="",0,H6)</f>
        <v>0.4011484732214823</v>
      </c>
      <c r="H74" s="312">
        <f>F74+G74</f>
        <v>1</v>
      </c>
      <c r="I74" s="291"/>
    </row>
    <row r="75" spans="3:9" ht="15.75">
      <c r="C75" s="321"/>
      <c r="D75" s="776" t="s">
        <v>174</v>
      </c>
      <c r="E75" s="775"/>
      <c r="F75" s="323">
        <f>F74*Crops!D13</f>
        <v>68.86792557952954</v>
      </c>
      <c r="G75" s="323">
        <f>G74*Crops!D13</f>
        <v>46.13207442047046</v>
      </c>
      <c r="H75" s="323">
        <f>F75+G75</f>
        <v>115</v>
      </c>
      <c r="I75" s="291"/>
    </row>
    <row r="76" spans="4:9" ht="15.75">
      <c r="D76" s="776" t="s">
        <v>175</v>
      </c>
      <c r="E76" s="775"/>
      <c r="F76" s="319">
        <f>F74*H76</f>
        <v>36829.36889687884</v>
      </c>
      <c r="G76" s="319">
        <f>G74*H76</f>
        <v>24670.63110312116</v>
      </c>
      <c r="H76" s="319">
        <f>Crops!D16</f>
        <v>61500</v>
      </c>
      <c r="I76" s="291"/>
    </row>
    <row r="77" spans="4:9" ht="15.75">
      <c r="D77" s="309"/>
      <c r="E77" s="318"/>
      <c r="F77" s="319"/>
      <c r="G77" s="319"/>
      <c r="H77" s="319"/>
      <c r="I77" s="291"/>
    </row>
    <row r="78" spans="4:9" ht="15">
      <c r="D78" s="774" t="s">
        <v>176</v>
      </c>
      <c r="E78" s="775"/>
      <c r="F78" s="319">
        <f>Crop3!H40</f>
        <v>26528.958333333332</v>
      </c>
      <c r="G78" s="319">
        <f>Crop3!I40</f>
        <v>0</v>
      </c>
      <c r="H78" s="319">
        <f>F78+G78</f>
        <v>26528.958333333332</v>
      </c>
      <c r="I78" s="291"/>
    </row>
    <row r="79" spans="4:9" ht="15.75">
      <c r="D79" s="776" t="s">
        <v>167</v>
      </c>
      <c r="E79" s="775"/>
      <c r="F79" s="316">
        <f>F76-F78</f>
        <v>10300.410563545509</v>
      </c>
      <c r="G79" s="316">
        <f>G76-G78</f>
        <v>24670.63110312116</v>
      </c>
      <c r="H79" s="316">
        <f>F79+G79</f>
        <v>34971.04166666667</v>
      </c>
      <c r="I79" s="291"/>
    </row>
    <row r="80" spans="4:9" ht="15.75">
      <c r="D80" s="309"/>
      <c r="E80" s="318"/>
      <c r="F80" s="319"/>
      <c r="G80" s="319"/>
      <c r="H80" s="319"/>
      <c r="I80" s="291"/>
    </row>
    <row r="81" spans="4:9" ht="15">
      <c r="D81" s="777" t="s">
        <v>159</v>
      </c>
      <c r="E81" s="775"/>
      <c r="F81" s="319">
        <f>E18</f>
        <v>33588.95833333333</v>
      </c>
      <c r="G81" s="319">
        <f>H18</f>
        <v>22500</v>
      </c>
      <c r="H81" s="319">
        <f>K18</f>
        <v>56088.95833333333</v>
      </c>
      <c r="I81" s="291"/>
    </row>
    <row r="82" spans="4:9" ht="15">
      <c r="D82" s="774" t="s">
        <v>177</v>
      </c>
      <c r="E82" s="775"/>
      <c r="F82" s="319">
        <f>F76-F81</f>
        <v>3240.4105635455126</v>
      </c>
      <c r="G82" s="319">
        <f>G76-G81</f>
        <v>2170.631103121159</v>
      </c>
      <c r="H82" s="319">
        <f>F82+G82</f>
        <v>5411.0416666666715</v>
      </c>
      <c r="I82" s="291"/>
    </row>
    <row r="83" spans="4:9" ht="15">
      <c r="D83" s="773" t="s">
        <v>224</v>
      </c>
      <c r="E83" s="774"/>
      <c r="F83" s="319">
        <f>IF(B18=0,0,F82/B18)</f>
        <v>32.404105635455124</v>
      </c>
      <c r="G83" s="319">
        <f>IF(B18=0,0,G82/B18)</f>
        <v>21.70631103121159</v>
      </c>
      <c r="H83" s="319">
        <f>F83+G83</f>
        <v>54.110416666666715</v>
      </c>
      <c r="I83" s="291"/>
    </row>
    <row r="84" spans="4:9" ht="15">
      <c r="D84" s="413"/>
      <c r="E84" s="413"/>
      <c r="F84" s="412"/>
      <c r="G84" s="412"/>
      <c r="H84" s="412"/>
      <c r="I84" s="291"/>
    </row>
    <row r="85" spans="2:9" ht="15">
      <c r="B85" s="326"/>
      <c r="C85" s="768" t="str">
        <f>A19</f>
        <v>Malting Barley</v>
      </c>
      <c r="D85" s="472">
        <f>B19</f>
        <v>100</v>
      </c>
      <c r="E85" s="473" t="s">
        <v>27</v>
      </c>
      <c r="F85" s="291"/>
      <c r="G85" s="291"/>
      <c r="H85" s="291"/>
      <c r="I85" s="291"/>
    </row>
    <row r="86" spans="3:9" ht="15.75">
      <c r="C86" s="768"/>
      <c r="D86" s="776" t="s">
        <v>173</v>
      </c>
      <c r="E86" s="775"/>
      <c r="F86" s="312">
        <f>IF(E7="",0,E7)</f>
        <v>0.571651244789415</v>
      </c>
      <c r="G86" s="312">
        <f>IF(H7="",0,H7)</f>
        <v>0.4283487552105849</v>
      </c>
      <c r="H86" s="312">
        <f>F86+G86</f>
        <v>0.9999999999999999</v>
      </c>
      <c r="I86" s="291"/>
    </row>
    <row r="87" spans="3:9" ht="15.75">
      <c r="C87" s="321"/>
      <c r="D87" s="776" t="s">
        <v>174</v>
      </c>
      <c r="E87" s="775"/>
      <c r="F87" s="323">
        <f>F86*Crops!E13</f>
        <v>33.15577219778607</v>
      </c>
      <c r="G87" s="323">
        <f>G86*Crops!E13</f>
        <v>24.844227802213926</v>
      </c>
      <c r="H87" s="323">
        <f>F87+G87</f>
        <v>58</v>
      </c>
      <c r="I87" s="291"/>
    </row>
    <row r="88" spans="4:9" ht="15.75">
      <c r="D88" s="776" t="s">
        <v>175</v>
      </c>
      <c r="E88" s="775"/>
      <c r="F88" s="319">
        <f>F86*H88</f>
        <v>27725.085372286627</v>
      </c>
      <c r="G88" s="319">
        <f>G86*H88</f>
        <v>20774.91462771337</v>
      </c>
      <c r="H88" s="319">
        <f>Crops!E16</f>
        <v>48500</v>
      </c>
      <c r="I88" s="291"/>
    </row>
    <row r="89" spans="4:9" ht="15.75">
      <c r="D89" s="309"/>
      <c r="E89" s="318"/>
      <c r="F89" s="319"/>
      <c r="G89" s="319"/>
      <c r="H89" s="319"/>
      <c r="I89" s="291"/>
    </row>
    <row r="90" spans="4:9" ht="15">
      <c r="D90" s="774" t="s">
        <v>176</v>
      </c>
      <c r="E90" s="775"/>
      <c r="F90" s="319">
        <f>Crop4!H40</f>
        <v>21727.291666666668</v>
      </c>
      <c r="G90" s="319">
        <f>Crop4!I40</f>
        <v>0</v>
      </c>
      <c r="H90" s="319">
        <f>F90+G90</f>
        <v>21727.291666666668</v>
      </c>
      <c r="I90" s="291"/>
    </row>
    <row r="91" spans="4:9" ht="15.75">
      <c r="D91" s="776" t="s">
        <v>167</v>
      </c>
      <c r="E91" s="775"/>
      <c r="F91" s="319">
        <f>F88-F90</f>
        <v>5997.793705619959</v>
      </c>
      <c r="G91" s="319">
        <f>G88-G90</f>
        <v>20774.91462771337</v>
      </c>
      <c r="H91" s="319">
        <f>F91+G91</f>
        <v>26772.70833333333</v>
      </c>
      <c r="I91" s="291"/>
    </row>
    <row r="92" spans="4:9" ht="15.75">
      <c r="D92" s="309"/>
      <c r="E92" s="318"/>
      <c r="F92" s="319"/>
      <c r="G92" s="319"/>
      <c r="H92" s="319"/>
      <c r="I92" s="291"/>
    </row>
    <row r="93" spans="4:9" ht="15">
      <c r="D93" s="777" t="s">
        <v>159</v>
      </c>
      <c r="E93" s="775"/>
      <c r="F93" s="319">
        <f>E19</f>
        <v>30027.291666666668</v>
      </c>
      <c r="G93" s="319">
        <f>H19</f>
        <v>22500</v>
      </c>
      <c r="H93" s="319">
        <f>K19</f>
        <v>52527.29166666667</v>
      </c>
      <c r="I93" s="291"/>
    </row>
    <row r="94" spans="4:9" ht="15">
      <c r="D94" s="774" t="s">
        <v>177</v>
      </c>
      <c r="E94" s="775"/>
      <c r="F94" s="319">
        <f>F88-F93</f>
        <v>-2302.206294380041</v>
      </c>
      <c r="G94" s="319">
        <f>G88-G93</f>
        <v>-1725.0853722866304</v>
      </c>
      <c r="H94" s="319">
        <f>F94+G94</f>
        <v>-4027.2916666666715</v>
      </c>
      <c r="I94" s="291"/>
    </row>
    <row r="95" spans="4:9" ht="15">
      <c r="D95" s="773" t="s">
        <v>224</v>
      </c>
      <c r="E95" s="774"/>
      <c r="F95" s="319">
        <f>IF(B19=0,0,F94/B19)</f>
        <v>-23.02206294380041</v>
      </c>
      <c r="G95" s="319">
        <f>IF(B19=0,0,G94/B19)</f>
        <v>-17.250853722866303</v>
      </c>
      <c r="H95" s="319">
        <f>F95+G95</f>
        <v>-40.27291666666672</v>
      </c>
      <c r="I95" s="291"/>
    </row>
    <row r="96" spans="6:9" ht="15">
      <c r="F96" s="291"/>
      <c r="G96" s="291"/>
      <c r="H96" s="291"/>
      <c r="I96" s="291"/>
    </row>
    <row r="97" spans="6:9" ht="15">
      <c r="F97" s="291"/>
      <c r="G97" s="291"/>
      <c r="H97" s="291"/>
      <c r="I97" s="291"/>
    </row>
    <row r="98" spans="2:9" ht="15">
      <c r="B98" s="326"/>
      <c r="C98" s="768" t="str">
        <f>A20</f>
        <v>Field Corn </v>
      </c>
      <c r="D98" s="472">
        <f>B20</f>
        <v>100</v>
      </c>
      <c r="E98" s="473" t="s">
        <v>27</v>
      </c>
      <c r="F98" s="291"/>
      <c r="G98" s="291"/>
      <c r="H98" s="291"/>
      <c r="I98" s="291"/>
    </row>
    <row r="99" spans="3:9" ht="15.75">
      <c r="C99" s="769"/>
      <c r="D99" s="789" t="s">
        <v>173</v>
      </c>
      <c r="E99" s="709"/>
      <c r="F99" s="312">
        <f>IF(E8="",0,E8)</f>
        <v>0.6509395543661644</v>
      </c>
      <c r="G99" s="312">
        <f>IF(H8="",0,H8)</f>
        <v>0.3490604456338356</v>
      </c>
      <c r="H99" s="312">
        <f>F99+G99</f>
        <v>1</v>
      </c>
      <c r="I99" s="291"/>
    </row>
    <row r="100" spans="3:9" ht="15.75">
      <c r="C100" s="321"/>
      <c r="D100" s="789" t="s">
        <v>174</v>
      </c>
      <c r="E100" s="709"/>
      <c r="F100" s="323">
        <f>F99*Crops!F13</f>
        <v>117.16911978590959</v>
      </c>
      <c r="G100" s="323">
        <f>G99*Crops!F13</f>
        <v>62.830880214090406</v>
      </c>
      <c r="H100" s="323">
        <f>F100+G100</f>
        <v>180</v>
      </c>
      <c r="I100" s="291"/>
    </row>
    <row r="101" spans="4:9" ht="15.75">
      <c r="D101" s="789" t="s">
        <v>175</v>
      </c>
      <c r="E101" s="709"/>
      <c r="F101" s="319">
        <f>F99*H101</f>
        <v>46867.647914363835</v>
      </c>
      <c r="G101" s="319">
        <f>G99*H101</f>
        <v>25132.35208563616</v>
      </c>
      <c r="H101" s="319">
        <f>Crops!F16</f>
        <v>72000</v>
      </c>
      <c r="I101" s="291"/>
    </row>
    <row r="102" spans="4:9" ht="15.75">
      <c r="D102" s="324"/>
      <c r="E102" s="325"/>
      <c r="F102" s="319"/>
      <c r="G102" s="319"/>
      <c r="H102" s="319"/>
      <c r="I102" s="291"/>
    </row>
    <row r="103" spans="4:9" ht="15">
      <c r="D103" s="774" t="s">
        <v>176</v>
      </c>
      <c r="E103" s="775"/>
      <c r="F103" s="319">
        <f>Crop5!H40</f>
        <v>33058.75</v>
      </c>
      <c r="G103" s="319">
        <f>Crop5!I40</f>
        <v>0</v>
      </c>
      <c r="H103" s="319">
        <f>F103+G103</f>
        <v>33058.75</v>
      </c>
      <c r="I103" s="291"/>
    </row>
    <row r="104" spans="4:9" ht="15.75">
      <c r="D104" s="776" t="s">
        <v>167</v>
      </c>
      <c r="E104" s="775"/>
      <c r="F104" s="319">
        <f>F101-F103</f>
        <v>13808.897914363835</v>
      </c>
      <c r="G104" s="319">
        <f>G101-G103</f>
        <v>25132.35208563616</v>
      </c>
      <c r="H104" s="319">
        <f>F104+G104</f>
        <v>38941.25</v>
      </c>
      <c r="I104" s="291"/>
    </row>
    <row r="105" spans="4:9" ht="15">
      <c r="D105" s="790"/>
      <c r="E105" s="790"/>
      <c r="F105" s="319"/>
      <c r="G105" s="319"/>
      <c r="H105" s="319"/>
      <c r="I105" s="291"/>
    </row>
    <row r="106" spans="4:9" ht="15">
      <c r="D106" s="777" t="s">
        <v>159</v>
      </c>
      <c r="E106" s="775"/>
      <c r="F106" s="319">
        <f>E20</f>
        <v>41958.75</v>
      </c>
      <c r="G106" s="319">
        <f>H20</f>
        <v>22500</v>
      </c>
      <c r="H106" s="319">
        <f>K20</f>
        <v>64458.75</v>
      </c>
      <c r="I106" s="291"/>
    </row>
    <row r="107" spans="4:9" ht="15">
      <c r="D107" s="774" t="s">
        <v>177</v>
      </c>
      <c r="E107" s="775"/>
      <c r="F107" s="319">
        <f>F101-F106</f>
        <v>4908.897914363835</v>
      </c>
      <c r="G107" s="319">
        <f>G101-G106</f>
        <v>2632.352085636161</v>
      </c>
      <c r="H107" s="319">
        <f>F107+G107</f>
        <v>7541.249999999996</v>
      </c>
      <c r="I107" s="291"/>
    </row>
    <row r="108" spans="4:9" ht="15">
      <c r="D108" s="773" t="s">
        <v>224</v>
      </c>
      <c r="E108" s="774"/>
      <c r="F108" s="319">
        <f>IF(B20=0,0,F107/B20)</f>
        <v>49.088979143638355</v>
      </c>
      <c r="G108" s="319">
        <f>IF(B20=0,0,G107/B20)</f>
        <v>26.32352085636161</v>
      </c>
      <c r="H108" s="319">
        <f>F108+G108</f>
        <v>75.41249999999997</v>
      </c>
      <c r="I108" s="291"/>
    </row>
    <row r="109" spans="6:9" ht="15">
      <c r="F109" s="291"/>
      <c r="G109" s="291"/>
      <c r="H109" s="291"/>
      <c r="I109" s="291"/>
    </row>
    <row r="110" spans="6:9" ht="15">
      <c r="F110" s="291"/>
      <c r="G110" s="291"/>
      <c r="H110" s="291"/>
      <c r="I110" s="291"/>
    </row>
    <row r="111" spans="3:9" ht="15">
      <c r="C111" s="770" t="str">
        <f>A21</f>
        <v>Sugarbeets</v>
      </c>
      <c r="D111" s="472">
        <f>B21</f>
        <v>100</v>
      </c>
      <c r="E111" s="473" t="s">
        <v>27</v>
      </c>
      <c r="F111" s="291"/>
      <c r="G111" s="291"/>
      <c r="H111" s="291"/>
      <c r="I111" s="291"/>
    </row>
    <row r="112" spans="3:9" ht="15.75">
      <c r="C112" s="770"/>
      <c r="D112" s="789" t="s">
        <v>173</v>
      </c>
      <c r="E112" s="709"/>
      <c r="F112" s="312">
        <f>IF(E9="",0,E9)</f>
        <v>0.7962620884494187</v>
      </c>
      <c r="G112" s="312">
        <f>IF(H9="",0,H9)</f>
        <v>0.20373791155058132</v>
      </c>
      <c r="H112" s="312">
        <f>F112+G112</f>
        <v>1</v>
      </c>
      <c r="I112" s="291"/>
    </row>
    <row r="113" spans="3:9" ht="15.75">
      <c r="C113" s="321"/>
      <c r="D113" s="789" t="s">
        <v>174</v>
      </c>
      <c r="E113" s="709"/>
      <c r="F113" s="323">
        <f>F112*Crops!G13</f>
        <v>25.4803868303814</v>
      </c>
      <c r="G113" s="323">
        <f>G112*Crops!G13</f>
        <v>6.519613169618602</v>
      </c>
      <c r="H113" s="323">
        <f>F113+G113</f>
        <v>32</v>
      </c>
      <c r="I113" s="291"/>
    </row>
    <row r="114" spans="4:9" ht="15.75">
      <c r="D114" s="789" t="s">
        <v>175</v>
      </c>
      <c r="E114" s="709"/>
      <c r="F114" s="319">
        <f>F112*H114</f>
        <v>96825.46995544931</v>
      </c>
      <c r="G114" s="319">
        <f>G112*H114</f>
        <v>24774.530044550687</v>
      </c>
      <c r="H114" s="319">
        <f>Crops!G16</f>
        <v>121600</v>
      </c>
      <c r="I114" s="291"/>
    </row>
    <row r="115" spans="4:9" ht="15">
      <c r="D115" s="790"/>
      <c r="E115" s="790"/>
      <c r="F115" s="319"/>
      <c r="G115" s="319"/>
      <c r="H115" s="319"/>
      <c r="I115" s="291"/>
    </row>
    <row r="116" spans="4:9" ht="15">
      <c r="D116" s="774" t="s">
        <v>176</v>
      </c>
      <c r="E116" s="775"/>
      <c r="F116" s="319">
        <f>Crop6!H40</f>
        <v>60336</v>
      </c>
      <c r="G116" s="319">
        <f>Crop6!I40</f>
        <v>0</v>
      </c>
      <c r="H116" s="319">
        <f>F116+G116</f>
        <v>60336</v>
      </c>
      <c r="I116" s="291"/>
    </row>
    <row r="117" spans="4:9" ht="15.75">
      <c r="D117" s="776" t="s">
        <v>167</v>
      </c>
      <c r="E117" s="775"/>
      <c r="F117" s="319">
        <f>F114-F116</f>
        <v>36489.46995544931</v>
      </c>
      <c r="G117" s="319">
        <f>G114-G116</f>
        <v>24774.530044550687</v>
      </c>
      <c r="H117" s="319">
        <f>F117+G117</f>
        <v>61264</v>
      </c>
      <c r="I117" s="291"/>
    </row>
    <row r="118" spans="4:9" ht="15">
      <c r="D118" s="790"/>
      <c r="E118" s="790"/>
      <c r="F118" s="319"/>
      <c r="G118" s="319"/>
      <c r="H118" s="319"/>
      <c r="I118" s="291"/>
    </row>
    <row r="119" spans="4:9" ht="15">
      <c r="D119" s="777" t="s">
        <v>159</v>
      </c>
      <c r="E119" s="775"/>
      <c r="F119" s="319">
        <f>E21</f>
        <v>87936</v>
      </c>
      <c r="G119" s="319">
        <f>H21</f>
        <v>22500</v>
      </c>
      <c r="H119" s="319">
        <f>K21</f>
        <v>110436</v>
      </c>
      <c r="I119" s="291"/>
    </row>
    <row r="120" spans="4:9" ht="15">
      <c r="D120" s="774" t="s">
        <v>177</v>
      </c>
      <c r="E120" s="775"/>
      <c r="F120" s="319">
        <f>F114-F119</f>
        <v>8889.469955449313</v>
      </c>
      <c r="G120" s="319">
        <f>G114-G119</f>
        <v>2274.5300445506873</v>
      </c>
      <c r="H120" s="319">
        <f>F120+G120</f>
        <v>11164</v>
      </c>
      <c r="I120" s="291"/>
    </row>
    <row r="121" spans="4:9" ht="15">
      <c r="D121" s="773" t="s">
        <v>224</v>
      </c>
      <c r="E121" s="774"/>
      <c r="F121" s="319">
        <f>IF(B21=0,0,F120/B21)</f>
        <v>88.89469955449313</v>
      </c>
      <c r="G121" s="319">
        <f>IF(B21=0,0,G120/B21)</f>
        <v>22.745300445506874</v>
      </c>
      <c r="H121" s="319">
        <f>F121+G121</f>
        <v>111.64</v>
      </c>
      <c r="I121" s="291"/>
    </row>
    <row r="122" spans="6:9" ht="15">
      <c r="F122" s="291"/>
      <c r="G122" s="291"/>
      <c r="H122" s="291"/>
      <c r="I122" s="291"/>
    </row>
    <row r="123" spans="6:9" ht="15">
      <c r="F123" s="291"/>
      <c r="G123" s="291"/>
      <c r="H123" s="291"/>
      <c r="I123" s="291"/>
    </row>
    <row r="124" spans="6:9" ht="15">
      <c r="F124" s="291"/>
      <c r="G124" s="291"/>
      <c r="H124" s="291"/>
      <c r="I124" s="291"/>
    </row>
    <row r="125" spans="6:9" ht="15">
      <c r="F125" s="291"/>
      <c r="G125" s="291"/>
      <c r="H125" s="291"/>
      <c r="I125" s="291"/>
    </row>
    <row r="126" spans="6:9" ht="15">
      <c r="F126" s="291"/>
      <c r="G126" s="291"/>
      <c r="H126" s="291"/>
      <c r="I126" s="291"/>
    </row>
    <row r="127" spans="6:9" ht="15">
      <c r="F127" s="291"/>
      <c r="G127" s="291"/>
      <c r="H127" s="291"/>
      <c r="I127" s="291"/>
    </row>
    <row r="128" spans="6:9" ht="15">
      <c r="F128" s="291"/>
      <c r="G128" s="291"/>
      <c r="H128" s="291"/>
      <c r="I128" s="291"/>
    </row>
    <row r="129" spans="6:9" ht="15">
      <c r="F129" s="291"/>
      <c r="G129" s="291"/>
      <c r="H129" s="291"/>
      <c r="I129" s="291"/>
    </row>
    <row r="130" spans="6:9" ht="15">
      <c r="F130" s="291"/>
      <c r="G130" s="291"/>
      <c r="H130" s="291"/>
      <c r="I130" s="291"/>
    </row>
    <row r="131" spans="6:9" ht="15">
      <c r="F131" s="291"/>
      <c r="G131" s="291"/>
      <c r="H131" s="291"/>
      <c r="I131" s="291"/>
    </row>
    <row r="132" spans="6:9" ht="15">
      <c r="F132" s="291"/>
      <c r="G132" s="291"/>
      <c r="H132" s="291"/>
      <c r="I132" s="291"/>
    </row>
    <row r="133" spans="6:9" ht="15">
      <c r="F133" s="291"/>
      <c r="G133" s="291"/>
      <c r="H133" s="291"/>
      <c r="I133" s="291"/>
    </row>
    <row r="134" spans="6:9" ht="15">
      <c r="F134" s="291"/>
      <c r="G134" s="291"/>
      <c r="H134" s="291"/>
      <c r="I134" s="291"/>
    </row>
    <row r="135" spans="6:9" ht="15">
      <c r="F135" s="291"/>
      <c r="G135" s="291"/>
      <c r="H135" s="291"/>
      <c r="I135" s="291"/>
    </row>
    <row r="136" spans="6:9" ht="15">
      <c r="F136" s="291"/>
      <c r="G136" s="291"/>
      <c r="H136" s="291"/>
      <c r="I136" s="291"/>
    </row>
    <row r="137" spans="6:9" ht="15">
      <c r="F137" s="291"/>
      <c r="G137" s="291"/>
      <c r="H137" s="291"/>
      <c r="I137" s="291"/>
    </row>
    <row r="138" spans="6:9" ht="15">
      <c r="F138" s="291"/>
      <c r="G138" s="291"/>
      <c r="H138" s="291"/>
      <c r="I138" s="291"/>
    </row>
    <row r="139" spans="6:9" ht="15">
      <c r="F139" s="291"/>
      <c r="G139" s="291"/>
      <c r="H139" s="291"/>
      <c r="I139" s="291"/>
    </row>
    <row r="140" spans="6:9" ht="15">
      <c r="F140" s="291"/>
      <c r="G140" s="291"/>
      <c r="H140" s="291"/>
      <c r="I140" s="291"/>
    </row>
    <row r="141" spans="6:9" ht="15">
      <c r="F141" s="291"/>
      <c r="G141" s="291"/>
      <c r="H141" s="291"/>
      <c r="I141" s="291"/>
    </row>
    <row r="142" spans="6:9" ht="15">
      <c r="F142" s="291"/>
      <c r="G142" s="291"/>
      <c r="H142" s="291"/>
      <c r="I142" s="291"/>
    </row>
    <row r="143" spans="6:9" ht="15">
      <c r="F143" s="291"/>
      <c r="G143" s="291"/>
      <c r="H143" s="291"/>
      <c r="I143" s="291"/>
    </row>
    <row r="144" spans="6:9" ht="15">
      <c r="F144" s="291"/>
      <c r="G144" s="291"/>
      <c r="H144" s="291"/>
      <c r="I144" s="291"/>
    </row>
  </sheetData>
  <sheetProtection sheet="1"/>
  <mergeCells count="67">
    <mergeCell ref="D118:E118"/>
    <mergeCell ref="D119:E119"/>
    <mergeCell ref="D107:E107"/>
    <mergeCell ref="D108:E108"/>
    <mergeCell ref="D120:E120"/>
    <mergeCell ref="D121:E121"/>
    <mergeCell ref="D112:E112"/>
    <mergeCell ref="D113:E113"/>
    <mergeCell ref="D114:E114"/>
    <mergeCell ref="D115:E115"/>
    <mergeCell ref="D116:E116"/>
    <mergeCell ref="D117:E117"/>
    <mergeCell ref="D100:E100"/>
    <mergeCell ref="D101:E101"/>
    <mergeCell ref="D104:E104"/>
    <mergeCell ref="D103:E103"/>
    <mergeCell ref="D105:E105"/>
    <mergeCell ref="D106:E106"/>
    <mergeCell ref="D90:E90"/>
    <mergeCell ref="D91:E91"/>
    <mergeCell ref="D93:E93"/>
    <mergeCell ref="D94:E94"/>
    <mergeCell ref="D95:E95"/>
    <mergeCell ref="D99:E99"/>
    <mergeCell ref="I13:K13"/>
    <mergeCell ref="C13:E13"/>
    <mergeCell ref="F13:H13"/>
    <mergeCell ref="D86:E86"/>
    <mergeCell ref="D87:E87"/>
    <mergeCell ref="D88:E88"/>
    <mergeCell ref="A37:E37"/>
    <mergeCell ref="A31:E31"/>
    <mergeCell ref="A39:E39"/>
    <mergeCell ref="A36:E36"/>
    <mergeCell ref="A3:D3"/>
    <mergeCell ref="A33:E33"/>
    <mergeCell ref="A34:E34"/>
    <mergeCell ref="D53:E53"/>
    <mergeCell ref="D55:E55"/>
    <mergeCell ref="D56:E56"/>
    <mergeCell ref="D61:E61"/>
    <mergeCell ref="D57:E57"/>
    <mergeCell ref="D48:E48"/>
    <mergeCell ref="D49:E49"/>
    <mergeCell ref="D50:E50"/>
    <mergeCell ref="D52:E52"/>
    <mergeCell ref="D68:E68"/>
    <mergeCell ref="D69:E69"/>
    <mergeCell ref="D74:E74"/>
    <mergeCell ref="D75:E75"/>
    <mergeCell ref="D70:E70"/>
    <mergeCell ref="D62:E62"/>
    <mergeCell ref="D63:E63"/>
    <mergeCell ref="D65:E65"/>
    <mergeCell ref="D66:E66"/>
    <mergeCell ref="D83:E83"/>
    <mergeCell ref="D82:E82"/>
    <mergeCell ref="D76:E76"/>
    <mergeCell ref="D78:E78"/>
    <mergeCell ref="D79:E79"/>
    <mergeCell ref="D81:E81"/>
    <mergeCell ref="C98:C99"/>
    <mergeCell ref="C111:C112"/>
    <mergeCell ref="C60:C61"/>
    <mergeCell ref="C73:C74"/>
    <mergeCell ref="C85:C86"/>
    <mergeCell ref="C47:C48"/>
  </mergeCells>
  <printOptions/>
  <pageMargins left="0.75" right="0.75" top="1" bottom="1" header="0.5" footer="0.5"/>
  <pageSetup horizontalDpi="600" verticalDpi="600" orientation="portrait" scale="48" r:id="rId1"/>
  <headerFooter alignWithMargins="0">
    <oddFooter>&amp;L&amp;F&amp;CUniversity of Idaho&amp;R&amp;A</oddFoot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M52"/>
  <sheetViews>
    <sheetView showGridLines="0" zoomScale="75" zoomScaleNormal="75" zoomScalePageLayoutView="0" workbookViewId="0" topLeftCell="A1">
      <pane xSplit="1" ySplit="14" topLeftCell="B15" activePane="bottomRight" state="frozen"/>
      <selection pane="topLeft" activeCell="A1" sqref="A1"/>
      <selection pane="topRight" activeCell="B1" sqref="B1"/>
      <selection pane="bottomLeft" activeCell="A15" sqref="A15"/>
      <selection pane="bottomRight" activeCell="A3" sqref="A3"/>
    </sheetView>
  </sheetViews>
  <sheetFormatPr defaultColWidth="9.00390625" defaultRowHeight="14.25"/>
  <cols>
    <col min="1" max="1" width="36.25390625" style="1" customWidth="1"/>
    <col min="2" max="2" width="12.75390625" style="1" customWidth="1"/>
    <col min="3" max="4" width="12.625" style="1" customWidth="1"/>
    <col min="5" max="5" width="12.375" style="1" customWidth="1"/>
    <col min="6" max="6" width="12.625" style="1" customWidth="1"/>
    <col min="7" max="7" width="13.125" style="1" customWidth="1"/>
    <col min="8" max="8" width="14.25390625" style="1" customWidth="1"/>
    <col min="9" max="9" width="11.75390625" style="1" customWidth="1"/>
    <col min="10" max="16384" width="9.00390625" style="1" customWidth="1"/>
  </cols>
  <sheetData>
    <row r="1" spans="1:13" ht="15">
      <c r="A1" s="327" t="s">
        <v>178</v>
      </c>
      <c r="B1" s="251"/>
      <c r="C1" s="251"/>
      <c r="D1" s="251"/>
      <c r="E1" s="251"/>
      <c r="F1" s="251"/>
      <c r="G1" s="251"/>
      <c r="H1" s="251"/>
      <c r="I1" s="251"/>
      <c r="J1" s="251"/>
      <c r="K1" s="251"/>
      <c r="L1" s="251"/>
      <c r="M1" s="251"/>
    </row>
    <row r="2" spans="1:13" ht="18">
      <c r="A2" s="328" t="s">
        <v>179</v>
      </c>
      <c r="B2" s="251"/>
      <c r="C2" s="251"/>
      <c r="D2" s="251"/>
      <c r="E2" s="251"/>
      <c r="F2" s="251"/>
      <c r="G2" s="251"/>
      <c r="H2" s="251"/>
      <c r="I2" s="251"/>
      <c r="J2" s="251"/>
      <c r="K2" s="251"/>
      <c r="L2" s="251"/>
      <c r="M2" s="251"/>
    </row>
    <row r="3" spans="1:13" ht="15.75">
      <c r="A3" s="20"/>
      <c r="B3" s="20"/>
      <c r="C3" s="20"/>
      <c r="D3" s="20"/>
      <c r="E3" s="20"/>
      <c r="F3" s="20"/>
      <c r="G3" s="20"/>
      <c r="H3" s="20"/>
      <c r="I3" s="20"/>
      <c r="J3" s="41"/>
      <c r="K3" s="41"/>
      <c r="L3" s="251"/>
      <c r="M3" s="251"/>
    </row>
    <row r="4" spans="1:13" ht="18.75">
      <c r="A4" s="791" t="s">
        <v>180</v>
      </c>
      <c r="B4" s="791"/>
      <c r="C4" s="791"/>
      <c r="D4" s="791"/>
      <c r="E4" s="791"/>
      <c r="F4" s="791"/>
      <c r="G4" s="791"/>
      <c r="H4" s="791"/>
      <c r="I4" s="791"/>
      <c r="J4" s="329"/>
      <c r="K4" s="41"/>
      <c r="L4" s="251"/>
      <c r="M4" s="251"/>
    </row>
    <row r="5" spans="1:13" ht="15.75">
      <c r="A5" s="20"/>
      <c r="B5" s="20"/>
      <c r="C5" s="20"/>
      <c r="D5" s="20"/>
      <c r="E5" s="20"/>
      <c r="F5" s="20"/>
      <c r="G5" s="20"/>
      <c r="H5" s="20"/>
      <c r="I5" s="20"/>
      <c r="J5" s="41"/>
      <c r="K5" s="41"/>
      <c r="L5" s="251"/>
      <c r="M5" s="251"/>
    </row>
    <row r="6" spans="1:13" ht="22.5">
      <c r="A6" s="20" t="s">
        <v>181</v>
      </c>
      <c r="B6" s="20"/>
      <c r="C6" s="20"/>
      <c r="D6" s="20"/>
      <c r="E6" s="20"/>
      <c r="F6" s="20"/>
      <c r="G6" s="330" t="s">
        <v>278</v>
      </c>
      <c r="H6" s="20" t="s">
        <v>182</v>
      </c>
      <c r="I6" s="20"/>
      <c r="J6" s="41"/>
      <c r="K6" s="41"/>
      <c r="L6" s="251"/>
      <c r="M6" s="251"/>
    </row>
    <row r="7" spans="1:13" ht="15.75">
      <c r="A7" s="20"/>
      <c r="B7" s="20"/>
      <c r="C7" s="20"/>
      <c r="D7" s="20"/>
      <c r="E7" s="20"/>
      <c r="F7" s="20"/>
      <c r="G7" s="331"/>
      <c r="H7" s="20"/>
      <c r="I7" s="20"/>
      <c r="J7" s="41"/>
      <c r="K7" s="41"/>
      <c r="L7" s="251"/>
      <c r="M7" s="251"/>
    </row>
    <row r="8" spans="1:13" ht="15.75">
      <c r="A8" s="20" t="s">
        <v>285</v>
      </c>
      <c r="B8" s="20"/>
      <c r="C8" s="20"/>
      <c r="D8" s="20"/>
      <c r="E8" s="20"/>
      <c r="F8" s="20"/>
      <c r="G8" s="20"/>
      <c r="H8" s="20"/>
      <c r="I8" s="20"/>
      <c r="J8" s="41"/>
      <c r="K8" s="41"/>
      <c r="L8" s="251"/>
      <c r="M8" s="251"/>
    </row>
    <row r="9" spans="1:13" ht="15.75">
      <c r="A9" s="20" t="s">
        <v>286</v>
      </c>
      <c r="B9" s="20"/>
      <c r="C9" s="20"/>
      <c r="D9" s="20"/>
      <c r="E9" s="20"/>
      <c r="F9" s="20"/>
      <c r="G9" s="20"/>
      <c r="H9" s="20"/>
      <c r="I9" s="20"/>
      <c r="J9" s="332"/>
      <c r="K9" s="41"/>
      <c r="L9" s="251"/>
      <c r="M9" s="251"/>
    </row>
    <row r="10" spans="1:13" ht="15.75">
      <c r="A10" s="20"/>
      <c r="B10" s="20"/>
      <c r="C10" s="20"/>
      <c r="D10" s="20"/>
      <c r="E10" s="20"/>
      <c r="F10" s="20"/>
      <c r="G10" s="20"/>
      <c r="H10" s="20"/>
      <c r="I10" s="20"/>
      <c r="J10" s="41"/>
      <c r="K10" s="41"/>
      <c r="L10" s="251"/>
      <c r="M10" s="251"/>
    </row>
    <row r="11" spans="1:13" ht="15.75">
      <c r="A11" s="72" t="s">
        <v>199</v>
      </c>
      <c r="B11" s="20"/>
      <c r="C11" s="20"/>
      <c r="D11" s="20"/>
      <c r="E11" s="20"/>
      <c r="F11" s="20"/>
      <c r="G11" s="20"/>
      <c r="H11" s="256"/>
      <c r="I11" s="256"/>
      <c r="J11" s="251"/>
      <c r="K11" s="251"/>
      <c r="L11" s="251"/>
      <c r="M11" s="251"/>
    </row>
    <row r="12" spans="1:13" ht="15.75">
      <c r="A12" s="72"/>
      <c r="B12" s="20"/>
      <c r="C12" s="20"/>
      <c r="D12" s="20"/>
      <c r="E12" s="20"/>
      <c r="F12" s="20"/>
      <c r="G12" s="20"/>
      <c r="H12" s="333"/>
      <c r="I12" s="256"/>
      <c r="J12" s="251"/>
      <c r="K12" s="251"/>
      <c r="L12" s="251"/>
      <c r="M12" s="251"/>
    </row>
    <row r="13" spans="1:13" ht="15.75" customHeight="1">
      <c r="A13" s="20"/>
      <c r="B13" s="792" t="str">
        <f>Crops!B10</f>
        <v>Potatoes: No-Storage</v>
      </c>
      <c r="C13" s="794" t="str">
        <f>Crops!C10</f>
        <v>Hard Red Spring Wheat</v>
      </c>
      <c r="D13" s="794" t="str">
        <f>Crops!D10</f>
        <v>Soft White Winter Wheat</v>
      </c>
      <c r="E13" s="794" t="str">
        <f>Crops!E10</f>
        <v>Malting Barley</v>
      </c>
      <c r="F13" s="794" t="str">
        <f>Crops!F10</f>
        <v>Field Corn </v>
      </c>
      <c r="G13" s="794" t="str">
        <f>Crops!G10</f>
        <v>Sugarbeets</v>
      </c>
      <c r="H13" s="334"/>
      <c r="I13" s="256"/>
      <c r="J13" s="251"/>
      <c r="K13" s="251"/>
      <c r="L13" s="251"/>
      <c r="M13" s="251"/>
    </row>
    <row r="14" spans="1:13" ht="15.75">
      <c r="A14" s="335"/>
      <c r="B14" s="793"/>
      <c r="C14" s="795"/>
      <c r="D14" s="795"/>
      <c r="E14" s="795"/>
      <c r="F14" s="795"/>
      <c r="G14" s="795"/>
      <c r="H14" s="336" t="s">
        <v>155</v>
      </c>
      <c r="I14" s="256"/>
      <c r="J14" s="251"/>
      <c r="K14" s="251"/>
      <c r="L14" s="251"/>
      <c r="M14" s="251"/>
    </row>
    <row r="15" spans="1:13" ht="15.75">
      <c r="A15" s="229" t="s">
        <v>187</v>
      </c>
      <c r="B15" s="337">
        <f>Crops!B13</f>
        <v>350</v>
      </c>
      <c r="C15" s="338">
        <f>Crops!C13</f>
        <v>100</v>
      </c>
      <c r="D15" s="338">
        <f>Crops!D13</f>
        <v>115</v>
      </c>
      <c r="E15" s="339">
        <f>Crops!E13</f>
        <v>58</v>
      </c>
      <c r="F15" s="338">
        <f>Crops!F13</f>
        <v>180</v>
      </c>
      <c r="G15" s="338">
        <f>Crops!G13</f>
        <v>32</v>
      </c>
      <c r="H15" s="463" t="s">
        <v>255</v>
      </c>
      <c r="I15" s="256"/>
      <c r="J15" s="251"/>
      <c r="K15" s="251"/>
      <c r="L15" s="251"/>
      <c r="M15" s="251"/>
    </row>
    <row r="16" spans="1:13" ht="15.75">
      <c r="A16" s="229" t="s">
        <v>188</v>
      </c>
      <c r="B16" s="340">
        <f>Crops!B14</f>
        <v>5.75</v>
      </c>
      <c r="C16" s="341">
        <f>Crops!C14</f>
        <v>6</v>
      </c>
      <c r="D16" s="341">
        <f>Crops!D14</f>
        <v>5</v>
      </c>
      <c r="E16" s="342">
        <f>Crops!E14</f>
        <v>7.5</v>
      </c>
      <c r="F16" s="341">
        <f>Crops!F14</f>
        <v>4</v>
      </c>
      <c r="G16" s="341">
        <f>Crops!G14</f>
        <v>38</v>
      </c>
      <c r="H16" s="463" t="s">
        <v>255</v>
      </c>
      <c r="I16" s="256"/>
      <c r="J16" s="251"/>
      <c r="K16" s="251"/>
      <c r="L16" s="251"/>
      <c r="M16" s="251"/>
    </row>
    <row r="17" spans="1:13" ht="15.75">
      <c r="A17" s="229" t="s">
        <v>279</v>
      </c>
      <c r="B17" s="340">
        <f>Crops!B15</f>
        <v>0</v>
      </c>
      <c r="C17" s="341">
        <f>Crops!C15</f>
        <v>40</v>
      </c>
      <c r="D17" s="341">
        <f>Crops!D15</f>
        <v>40</v>
      </c>
      <c r="E17" s="341">
        <f>Crops!E15</f>
        <v>50</v>
      </c>
      <c r="F17" s="341">
        <f>Crops!F15</f>
        <v>0</v>
      </c>
      <c r="G17" s="341">
        <f>Crops!G15</f>
        <v>0</v>
      </c>
      <c r="H17" s="463"/>
      <c r="I17" s="256"/>
      <c r="J17" s="251"/>
      <c r="K17" s="251"/>
      <c r="L17" s="251"/>
      <c r="M17" s="251"/>
    </row>
    <row r="18" spans="1:13" ht="15.75">
      <c r="A18" s="2" t="s">
        <v>189</v>
      </c>
      <c r="B18" s="343">
        <f>IF(Crops!B12=0,"",Crops!B16/Crops!B12)</f>
        <v>2012.5</v>
      </c>
      <c r="C18" s="344">
        <f>IF(Crops!C12=0,"",Crops!C16/Crops!C12)</f>
        <v>640</v>
      </c>
      <c r="D18" s="344">
        <f>IF(Crops!D12=0,"",Crops!D16/Crops!D12)</f>
        <v>615</v>
      </c>
      <c r="E18" s="344">
        <f>IF(Crops!E12=0,"",Crops!E16/Crops!E12)</f>
        <v>485</v>
      </c>
      <c r="F18" s="344">
        <f>IF(Crops!F12=0,"",Crops!F16/Crops!F12)</f>
        <v>720</v>
      </c>
      <c r="G18" s="344">
        <f>IF(Crops!G12=0,"",Crops!G16/Crops!G12)</f>
        <v>1216</v>
      </c>
      <c r="H18" s="345">
        <f>IF(CropShare!B23=0,"",CropShare!H31/CropShare!B23)</f>
        <v>948.0833333333334</v>
      </c>
      <c r="I18" s="256"/>
      <c r="J18" s="251"/>
      <c r="K18" s="251"/>
      <c r="L18" s="251"/>
      <c r="M18" s="251"/>
    </row>
    <row r="19" spans="1:13" ht="15.75">
      <c r="A19" s="2" t="s">
        <v>190</v>
      </c>
      <c r="B19" s="346">
        <f>IF(CropShare!K16=0,"",IF(G6="n",CropShare!G16/CropShare!K16,CropShare!H16/CropShare!K16))</f>
        <v>0.14112555470183305</v>
      </c>
      <c r="C19" s="347">
        <f>IF(CropShare!K17=0,"",IF(G6="n",CropShare!G17/CropShare!K17,CropShare!H17/CropShare!K17))</f>
        <v>0.4004663207824222</v>
      </c>
      <c r="D19" s="347">
        <f>IF(CropShare!K18=0,"",IF(G6="n",CropShare!G18/CropShare!K18,CropShare!H18/CropShare!K18))</f>
        <v>0.4011484732214823</v>
      </c>
      <c r="E19" s="347">
        <f>IF(CropShare!K19=0,"",IF(G6="n",CropShare!G19/CropShare!K19,CropShare!H19/CropShare!K19))</f>
        <v>0.4283487552105849</v>
      </c>
      <c r="F19" s="347">
        <f>IF(CropShare!K20=0,"",IF(G6="n",CropShare!G20/CropShare!K20,CropShare!H20/CropShare!K20))</f>
        <v>0.3490604456338356</v>
      </c>
      <c r="G19" s="347">
        <f>IF(CropShare!K21=0,"",IF(G6="n",CropShare!G21/CropShare!K21,CropShare!H21/CropShare!K21))</f>
        <v>0.20373791155058132</v>
      </c>
      <c r="H19" s="466">
        <f>IF(CropShare!K23=0,"",IF(G6="n",CropShare!G23/CropShare!K23,CropShare!H23/CropShare!K23))</f>
        <v>0.2704717026494206</v>
      </c>
      <c r="I19" s="256"/>
      <c r="J19" s="251"/>
      <c r="K19" s="251"/>
      <c r="L19" s="251"/>
      <c r="M19" s="251"/>
    </row>
    <row r="20" spans="1:13" ht="15.75">
      <c r="A20" s="2"/>
      <c r="B20" s="346"/>
      <c r="C20" s="347"/>
      <c r="D20" s="347"/>
      <c r="E20" s="347"/>
      <c r="F20" s="347"/>
      <c r="G20" s="347"/>
      <c r="H20" s="466"/>
      <c r="I20" s="256"/>
      <c r="J20" s="251"/>
      <c r="K20" s="251"/>
      <c r="L20" s="251"/>
      <c r="M20" s="251"/>
    </row>
    <row r="21" spans="1:13" ht="15.75">
      <c r="A21" s="2" t="s">
        <v>191</v>
      </c>
      <c r="B21" s="464">
        <f>IF(CropShare!B16=0,0,(CropShare!G50/CropShare!B16))</f>
        <v>284.015178837439</v>
      </c>
      <c r="C21" s="465">
        <f>IF(CropShare!B17=0,0,(CropShare!G63/CropShare!B17))</f>
        <v>256.2984453007502</v>
      </c>
      <c r="D21" s="465">
        <f>IF(CropShare!B18=0,0,(CropShare!G76/CropShare!B18))</f>
        <v>246.70631103121158</v>
      </c>
      <c r="E21" s="465">
        <f>IF(CropShare!B19=0,0,(CropShare!G88/CropShare!B19))</f>
        <v>207.7491462771337</v>
      </c>
      <c r="F21" s="465">
        <f>IF(CropShare!B20=0,0,(CropShare!G101/CropShare!B20))</f>
        <v>251.3235208563616</v>
      </c>
      <c r="G21" s="465">
        <f>IF(CropShare!B21=0,0,(CropShare!G114/CropShare!B21))</f>
        <v>247.74530044550687</v>
      </c>
      <c r="H21" s="597">
        <f>IF(CropShare!B23=0,0,(CropShare!G31/CropShare!B23))</f>
        <v>248.97298379140048</v>
      </c>
      <c r="I21" s="256"/>
      <c r="J21" s="251"/>
      <c r="K21" s="251"/>
      <c r="L21" s="251"/>
      <c r="M21" s="251"/>
    </row>
    <row r="22" spans="1:13" ht="15.75">
      <c r="A22" s="2"/>
      <c r="B22" s="348"/>
      <c r="C22" s="349"/>
      <c r="D22" s="349"/>
      <c r="E22" s="349"/>
      <c r="F22" s="349"/>
      <c r="G22" s="349"/>
      <c r="H22" s="336"/>
      <c r="I22" s="256"/>
      <c r="J22" s="251"/>
      <c r="K22" s="251"/>
      <c r="L22" s="251"/>
      <c r="M22" s="251"/>
    </row>
    <row r="23" spans="1:13" ht="15.75">
      <c r="A23" s="350" t="s">
        <v>192</v>
      </c>
      <c r="B23" s="351"/>
      <c r="C23" s="352"/>
      <c r="D23" s="352"/>
      <c r="E23" s="352"/>
      <c r="F23" s="352"/>
      <c r="G23" s="352"/>
      <c r="H23" s="336"/>
      <c r="I23" s="256"/>
      <c r="J23" s="251"/>
      <c r="K23" s="251"/>
      <c r="L23" s="251"/>
      <c r="M23" s="251"/>
    </row>
    <row r="24" spans="1:13" ht="15.75">
      <c r="A24" s="353" t="s">
        <v>193</v>
      </c>
      <c r="B24" s="354">
        <v>0.15</v>
      </c>
      <c r="C24" s="355">
        <v>0.1</v>
      </c>
      <c r="D24" s="355">
        <v>0.1</v>
      </c>
      <c r="E24" s="356">
        <v>0.1</v>
      </c>
      <c r="F24" s="355">
        <v>0.1</v>
      </c>
      <c r="G24" s="355">
        <v>0.1</v>
      </c>
      <c r="H24" s="598">
        <f>AVERAGE(B24:G24)</f>
        <v>0.10833333333333332</v>
      </c>
      <c r="I24" s="256"/>
      <c r="J24" s="251"/>
      <c r="K24" s="251"/>
      <c r="L24" s="251"/>
      <c r="M24" s="251"/>
    </row>
    <row r="25" spans="1:13" ht="15.75">
      <c r="A25" s="357"/>
      <c r="B25" s="358"/>
      <c r="C25" s="358"/>
      <c r="D25" s="358"/>
      <c r="E25" s="359"/>
      <c r="F25" s="358"/>
      <c r="G25" s="358"/>
      <c r="H25" s="360"/>
      <c r="I25" s="256"/>
      <c r="J25" s="251"/>
      <c r="K25" s="251"/>
      <c r="L25" s="251"/>
      <c r="M25" s="251"/>
    </row>
    <row r="26" spans="1:13" ht="15.75">
      <c r="A26" s="357"/>
      <c r="B26" s="358"/>
      <c r="C26" s="358"/>
      <c r="D26" s="358"/>
      <c r="E26" s="359"/>
      <c r="F26" s="358"/>
      <c r="G26" s="358"/>
      <c r="H26" s="360"/>
      <c r="I26" s="256"/>
      <c r="J26" s="251"/>
      <c r="K26" s="251"/>
      <c r="L26" s="251"/>
      <c r="M26" s="251"/>
    </row>
    <row r="27" spans="1:13" ht="15.75">
      <c r="A27" s="611" t="s">
        <v>225</v>
      </c>
      <c r="B27" s="612"/>
      <c r="C27" s="612"/>
      <c r="D27" s="612"/>
      <c r="E27" s="613"/>
      <c r="F27" s="612"/>
      <c r="G27" s="612"/>
      <c r="H27" s="614"/>
      <c r="I27" s="256"/>
      <c r="J27" s="251"/>
      <c r="K27" s="251"/>
      <c r="L27" s="251"/>
      <c r="M27" s="251"/>
    </row>
    <row r="28" spans="1:13" ht="15.75">
      <c r="A28" s="615"/>
      <c r="B28" s="612"/>
      <c r="C28" s="612"/>
      <c r="D28" s="612"/>
      <c r="E28" s="613"/>
      <c r="F28" s="612"/>
      <c r="G28" s="612"/>
      <c r="H28" s="614"/>
      <c r="I28" s="256"/>
      <c r="J28" s="251"/>
      <c r="K28" s="251"/>
      <c r="L28" s="251"/>
      <c r="M28" s="251"/>
    </row>
    <row r="29" spans="1:13" ht="15.75">
      <c r="A29" s="616" t="s">
        <v>226</v>
      </c>
      <c r="B29" s="617">
        <f aca="true" t="shared" si="0" ref="B29:H29">B21*(1-B24)</f>
        <v>241.41290201182315</v>
      </c>
      <c r="C29" s="617">
        <f t="shared" si="0"/>
        <v>230.66860077067517</v>
      </c>
      <c r="D29" s="617">
        <f t="shared" si="0"/>
        <v>222.03567992809042</v>
      </c>
      <c r="E29" s="617">
        <f t="shared" si="0"/>
        <v>186.97423164942032</v>
      </c>
      <c r="F29" s="617">
        <f t="shared" si="0"/>
        <v>226.19116877072545</v>
      </c>
      <c r="G29" s="617">
        <f t="shared" si="0"/>
        <v>222.97077040095618</v>
      </c>
      <c r="H29" s="617">
        <f t="shared" si="0"/>
        <v>222.0009105473321</v>
      </c>
      <c r="I29" s="256"/>
      <c r="J29" s="251"/>
      <c r="K29" s="251"/>
      <c r="L29" s="251"/>
      <c r="M29" s="251"/>
    </row>
    <row r="30" spans="1:13" ht="15.75">
      <c r="A30" s="616"/>
      <c r="B30" s="618"/>
      <c r="C30" s="618"/>
      <c r="D30" s="618"/>
      <c r="E30" s="618"/>
      <c r="F30" s="618"/>
      <c r="G30" s="618"/>
      <c r="H30" s="618"/>
      <c r="I30" s="256"/>
      <c r="J30" s="251"/>
      <c r="K30" s="251"/>
      <c r="L30" s="251"/>
      <c r="M30" s="251"/>
    </row>
    <row r="31" spans="1:13" ht="15.75">
      <c r="A31" s="616"/>
      <c r="B31" s="618"/>
      <c r="C31" s="618"/>
      <c r="D31" s="618"/>
      <c r="E31" s="618"/>
      <c r="F31" s="618"/>
      <c r="G31" s="618"/>
      <c r="H31" s="618"/>
      <c r="I31" s="256"/>
      <c r="J31" s="251"/>
      <c r="K31" s="251"/>
      <c r="L31" s="251"/>
      <c r="M31" s="251"/>
    </row>
    <row r="32" spans="1:13" ht="15.75">
      <c r="A32" s="619" t="s">
        <v>261</v>
      </c>
      <c r="B32" s="618"/>
      <c r="C32" s="618"/>
      <c r="D32" s="618"/>
      <c r="E32" s="618"/>
      <c r="F32" s="618"/>
      <c r="G32" s="618"/>
      <c r="H32" s="618"/>
      <c r="I32" s="256"/>
      <c r="J32" s="251"/>
      <c r="K32" s="251"/>
      <c r="L32" s="251"/>
      <c r="M32" s="251"/>
    </row>
    <row r="33" spans="1:13" ht="15.75">
      <c r="A33" s="619" t="s">
        <v>260</v>
      </c>
      <c r="B33" s="618"/>
      <c r="C33" s="618"/>
      <c r="D33" s="618"/>
      <c r="E33" s="618"/>
      <c r="F33" s="618"/>
      <c r="G33" s="618"/>
      <c r="H33" s="618"/>
      <c r="I33" s="256"/>
      <c r="J33" s="251"/>
      <c r="K33" s="251"/>
      <c r="L33" s="251"/>
      <c r="M33" s="251"/>
    </row>
    <row r="34" spans="1:13" ht="15" customHeight="1">
      <c r="A34" s="620" t="s">
        <v>196</v>
      </c>
      <c r="B34" s="618">
        <f>IF(Crop1!B5=0,"",IF($G$6="n",($B$18*(1-$B$19))-(Crop1!$F$40/Crop1!$B$5),($B$18*(1-$B$19))-(Crop1!$H$40/Crop1!$B$5)))</f>
        <v>643.1598211625608</v>
      </c>
      <c r="C34" s="618">
        <f>IF(Crop2!C5=0,"",IF($G$6="n",($C$18*(1-$C$19))-(Crop2!$F$40/Crop2!$C$5),($C$18*(1-$C$19))-(Crop2!$H$40/Crop2!$C$5)))</f>
        <v>118.25655469924982</v>
      </c>
      <c r="D34" s="618">
        <f>IF(Crop3!D5=0,"",IF($G$6="n",($D$18*(1-$D$19))-(Crop3!$F$40/Crop3!$D$5),($D$18*(1-$D$19))-(Crop3!$H$40/Crop3!$D$5)))</f>
        <v>103.00410563545506</v>
      </c>
      <c r="E34" s="618">
        <f>IF(Crop4!E5=0,"",IF($G$6="n",($E$18*(1-$E$19))-(Crop4!$F$40/Crop4!$E$5),($E$18*(1-$E$19))-(Crop4!$H$40/Crop4!$E$5)))</f>
        <v>59.977937056199664</v>
      </c>
      <c r="F34" s="618">
        <f>IF(Crop5!F5=0,"",IF($G$6="n",($F$18*(1-$F$19))-(Crop5!$F$40/Crop5!$F$5),($F$18*(1-$F$19))-(Crop5!$H$40/Crop5!$F$5)))</f>
        <v>138.08897914363843</v>
      </c>
      <c r="G34" s="618">
        <f>IF(Crop6!G5=0,"",IF($G$6="n",($G$18*(1-$G$19))-(Crop6!$F$40/Crop6!$G$5),($G$18*(1-$G$19))-(Crop6!$H$40/Crop6!$G$5)))</f>
        <v>364.8946995544932</v>
      </c>
      <c r="H34" s="621">
        <f>CropShare!F34/CropShare!B23</f>
        <v>237.89701620859947</v>
      </c>
      <c r="I34" s="467"/>
      <c r="J34" s="415"/>
      <c r="K34" s="251"/>
      <c r="L34" s="251"/>
      <c r="M34" s="251"/>
    </row>
    <row r="35" spans="1:13" ht="15.75">
      <c r="A35" s="616"/>
      <c r="B35" s="618"/>
      <c r="C35" s="618"/>
      <c r="D35" s="618"/>
      <c r="E35" s="618"/>
      <c r="F35" s="618"/>
      <c r="G35" s="618"/>
      <c r="H35" s="621"/>
      <c r="I35" s="294"/>
      <c r="J35" s="415"/>
      <c r="K35" s="251"/>
      <c r="L35" s="251"/>
      <c r="M35" s="251"/>
    </row>
    <row r="36" spans="1:13" ht="15.75">
      <c r="A36" s="622" t="s">
        <v>197</v>
      </c>
      <c r="B36" s="618">
        <f>IF(Crop1!B5=0,"",IF($G$6="n",($B$18*(1-$B$19))-(Crop1!$F$46/Crop1!$B$5),($B$18*(1-$B$19))-(Crop1!$H$46/Crop1!$B$5)))</f>
        <v>514.1598211625608</v>
      </c>
      <c r="C36" s="618">
        <f>IF(Crop2!C5=0,"",IF($G$6="n",($C$18*(1-$C$19))-(Crop2!$F$46/Crop2!$C$5),($C$18*(1-$C$19))-(Crop2!$H$46/Crop2!$C$5)))</f>
        <v>89.25655469924982</v>
      </c>
      <c r="D36" s="618">
        <f>IF(Crop3!D5=0,"",IF($G$6="n",($D$18*(1-$D$19))-(Crop3!$F$46/Crop3!$D$5),($D$18*(1-$D$19))-(Crop3!$H$46/Crop3!$D$5)))</f>
        <v>74.00410563545506</v>
      </c>
      <c r="E36" s="618">
        <f>IF(Crop4!E5=0,"",IF($G$6="n",($E$18*(1-$E$19))-(Crop4!$F$46/Crop4!$E$5),($E$18*(1-$E$19))-(Crop4!$H$46/Crop4!$E$5)))</f>
        <v>29.977937056199664</v>
      </c>
      <c r="F36" s="618">
        <f>IF(Crop5!F5=0,"",IF($G$6="n",($F$18*(1-$F$19))-(Crop5!$F$46/Crop5!$F$5),($F$18*(1-$F$19))-(Crop5!$H$46/Crop5!$F$5)))</f>
        <v>101.08897914363843</v>
      </c>
      <c r="G36" s="618">
        <f>IF(Crop6!G5=0,"",IF($G$6="n",($G$18*(1-$G$19))-(Crop6!$F$46/Crop6!$G$5),($G$18*(1-$G$19))-(Crop6!$H$46/Crop6!$G$5)))</f>
        <v>270.8946995544932</v>
      </c>
      <c r="H36" s="621">
        <f>CropShare!F37/CropShare!B23</f>
        <v>92.23034954193281</v>
      </c>
      <c r="I36" s="294"/>
      <c r="J36" s="415"/>
      <c r="K36" s="251"/>
      <c r="L36" s="251"/>
      <c r="M36" s="251"/>
    </row>
    <row r="37" spans="1:13" ht="15.75">
      <c r="A37" s="294"/>
      <c r="B37" s="414"/>
      <c r="C37" s="414"/>
      <c r="D37" s="414"/>
      <c r="E37" s="414"/>
      <c r="F37" s="414"/>
      <c r="G37" s="414"/>
      <c r="H37" s="363"/>
      <c r="I37" s="294"/>
      <c r="J37" s="415"/>
      <c r="K37" s="251"/>
      <c r="L37" s="251"/>
      <c r="M37" s="251"/>
    </row>
    <row r="38" spans="1:13" s="411" customFormat="1" ht="15.75">
      <c r="A38" s="294"/>
      <c r="B38" s="414"/>
      <c r="C38" s="414"/>
      <c r="D38" s="414"/>
      <c r="E38" s="414"/>
      <c r="F38" s="414"/>
      <c r="G38" s="414"/>
      <c r="H38" s="363"/>
      <c r="I38" s="294"/>
      <c r="J38" s="415"/>
      <c r="K38" s="415"/>
      <c r="L38" s="415"/>
      <c r="M38" s="415"/>
    </row>
    <row r="39" spans="1:13" s="411" customFormat="1" ht="15.75">
      <c r="A39" s="294"/>
      <c r="B39" s="414"/>
      <c r="C39" s="414"/>
      <c r="D39" s="414"/>
      <c r="E39" s="414"/>
      <c r="F39" s="414"/>
      <c r="G39" s="414"/>
      <c r="H39" s="363"/>
      <c r="I39" s="294"/>
      <c r="J39" s="415"/>
      <c r="K39" s="415"/>
      <c r="L39" s="415"/>
      <c r="M39" s="415"/>
    </row>
    <row r="40" spans="1:13" s="411" customFormat="1" ht="15.75">
      <c r="A40" s="602" t="s">
        <v>198</v>
      </c>
      <c r="B40" s="603"/>
      <c r="C40" s="603"/>
      <c r="D40" s="603"/>
      <c r="E40" s="603"/>
      <c r="F40" s="603"/>
      <c r="G40" s="603"/>
      <c r="H40" s="607" t="s">
        <v>13</v>
      </c>
      <c r="I40" s="294"/>
      <c r="J40" s="415"/>
      <c r="K40" s="415"/>
      <c r="L40" s="415"/>
      <c r="M40" s="415"/>
    </row>
    <row r="41" spans="1:13" s="411" customFormat="1" ht="15.75">
      <c r="A41" s="605"/>
      <c r="B41" s="603"/>
      <c r="C41" s="603"/>
      <c r="D41" s="603"/>
      <c r="E41" s="603"/>
      <c r="F41" s="603"/>
      <c r="G41" s="603"/>
      <c r="H41" s="604"/>
      <c r="I41" s="294"/>
      <c r="J41" s="415"/>
      <c r="K41" s="415"/>
      <c r="L41" s="415"/>
      <c r="M41" s="415"/>
    </row>
    <row r="42" spans="1:13" ht="15.75">
      <c r="A42" s="605" t="s">
        <v>195</v>
      </c>
      <c r="B42" s="606">
        <f>B29*CropShare!B16</f>
        <v>24141.290201182313</v>
      </c>
      <c r="C42" s="606">
        <f>C29*CropShare!B17</f>
        <v>23066.86007706752</v>
      </c>
      <c r="D42" s="606">
        <f>D29*CropShare!B18</f>
        <v>22203.567992809043</v>
      </c>
      <c r="E42" s="606">
        <f>E29*CropShare!B19</f>
        <v>18697.423164942033</v>
      </c>
      <c r="F42" s="606">
        <f>F29*CropShare!B20</f>
        <v>22619.116877072545</v>
      </c>
      <c r="G42" s="606">
        <f>G29*CropShare!B21</f>
        <v>22297.077040095617</v>
      </c>
      <c r="H42" s="607">
        <f>SUM(B42:G42)</f>
        <v>133025.33535316907</v>
      </c>
      <c r="I42" s="294"/>
      <c r="J42" s="415"/>
      <c r="K42" s="251"/>
      <c r="L42" s="251"/>
      <c r="M42" s="251"/>
    </row>
    <row r="43" spans="1:13" ht="15.75">
      <c r="A43" s="605"/>
      <c r="B43" s="603"/>
      <c r="C43" s="603"/>
      <c r="D43" s="603"/>
      <c r="E43" s="603"/>
      <c r="F43" s="603"/>
      <c r="G43" s="603"/>
      <c r="H43" s="604"/>
      <c r="I43" s="294"/>
      <c r="J43" s="415"/>
      <c r="K43" s="251"/>
      <c r="L43" s="251"/>
      <c r="M43" s="251"/>
    </row>
    <row r="44" spans="1:13" ht="15.75">
      <c r="A44" s="608" t="s">
        <v>196</v>
      </c>
      <c r="B44" s="603">
        <f>IF(B34="","",B34*CropShare!$B16)</f>
        <v>64315.98211625608</v>
      </c>
      <c r="C44" s="603">
        <f>IF(C34="","",C34*CropShare!$B17)</f>
        <v>11825.655469924983</v>
      </c>
      <c r="D44" s="603">
        <f>IF(D34="","",D34*CropShare!$B18)</f>
        <v>10300.410563545505</v>
      </c>
      <c r="E44" s="603">
        <f>IF(E34="","",E34*CropShare!$B19)</f>
        <v>5997.793705619966</v>
      </c>
      <c r="F44" s="603">
        <f>IF(F34="","",F34*CropShare!$B20)</f>
        <v>13808.897914363843</v>
      </c>
      <c r="G44" s="603">
        <f>IF(G34="","",G34*CropShare!$B21)</f>
        <v>36489.46995544932</v>
      </c>
      <c r="H44" s="609">
        <f>CropShare!F34</f>
        <v>142738.2097251597</v>
      </c>
      <c r="I44" s="294"/>
      <c r="J44" s="415"/>
      <c r="K44" s="251"/>
      <c r="L44" s="251"/>
      <c r="M44" s="251"/>
    </row>
    <row r="45" spans="1:13" ht="15.75">
      <c r="A45" s="605"/>
      <c r="B45" s="603"/>
      <c r="C45" s="603"/>
      <c r="D45" s="603"/>
      <c r="E45" s="603"/>
      <c r="F45" s="603"/>
      <c r="G45" s="603"/>
      <c r="H45" s="604"/>
      <c r="I45" s="294"/>
      <c r="J45" s="415"/>
      <c r="K45" s="251"/>
      <c r="L45" s="251"/>
      <c r="M45" s="251"/>
    </row>
    <row r="46" spans="1:13" ht="15.75">
      <c r="A46" s="610" t="s">
        <v>197</v>
      </c>
      <c r="B46" s="603">
        <f>IF(B36="","",B36*CropShare!B16)</f>
        <v>51415.98211625608</v>
      </c>
      <c r="C46" s="603">
        <f>IF(C36="","",C36*CropShare!$B17)</f>
        <v>8925.655469924983</v>
      </c>
      <c r="D46" s="603">
        <f>IF(D36="","",D36*CropShare!$B18)</f>
        <v>7400.410563545506</v>
      </c>
      <c r="E46" s="603">
        <f>IF(E36="","",E36*CropShare!$B19)</f>
        <v>2997.793705619966</v>
      </c>
      <c r="F46" s="603">
        <f>IF(F36="","",F36*CropShare!$B20)</f>
        <v>10108.897914363843</v>
      </c>
      <c r="G46" s="603">
        <f>IF(G36="","",G36*CropShare!$B21)</f>
        <v>27089.469955449316</v>
      </c>
      <c r="H46" s="609">
        <f>CropShare!F37</f>
        <v>55338.209725159686</v>
      </c>
      <c r="I46" s="294"/>
      <c r="J46" s="415"/>
      <c r="K46" s="251"/>
      <c r="L46" s="251"/>
      <c r="M46" s="251"/>
    </row>
    <row r="47" spans="1:13" ht="15.75">
      <c r="A47" s="605"/>
      <c r="B47" s="603"/>
      <c r="C47" s="603"/>
      <c r="D47" s="603"/>
      <c r="E47" s="603"/>
      <c r="F47" s="603"/>
      <c r="G47" s="603"/>
      <c r="H47" s="604"/>
      <c r="I47" s="294"/>
      <c r="J47" s="415"/>
      <c r="K47" s="251"/>
      <c r="L47" s="251"/>
      <c r="M47" s="251"/>
    </row>
    <row r="48" spans="1:13" ht="15.75">
      <c r="A48" s="333"/>
      <c r="B48" s="431"/>
      <c r="C48" s="431"/>
      <c r="D48" s="431"/>
      <c r="E48" s="431"/>
      <c r="F48" s="431"/>
      <c r="G48" s="431"/>
      <c r="H48" s="446"/>
      <c r="I48" s="256"/>
      <c r="J48" s="251"/>
      <c r="K48" s="251"/>
      <c r="L48" s="251"/>
      <c r="M48" s="251"/>
    </row>
    <row r="49" spans="1:13" ht="15.75">
      <c r="A49" s="256"/>
      <c r="B49" s="361"/>
      <c r="C49" s="361"/>
      <c r="D49" s="361"/>
      <c r="E49" s="361"/>
      <c r="F49" s="361"/>
      <c r="G49" s="361"/>
      <c r="H49" s="363"/>
      <c r="I49" s="256"/>
      <c r="J49" s="251"/>
      <c r="K49" s="251"/>
      <c r="L49" s="251"/>
      <c r="M49" s="251"/>
    </row>
    <row r="50" spans="2:13" ht="15" customHeight="1">
      <c r="B50" s="256"/>
      <c r="C50" s="256"/>
      <c r="D50" s="256"/>
      <c r="E50" s="256"/>
      <c r="F50" s="256"/>
      <c r="G50" s="251"/>
      <c r="H50" s="425"/>
      <c r="I50" s="256"/>
      <c r="J50" s="251"/>
      <c r="K50" s="251"/>
      <c r="L50" s="251"/>
      <c r="M50" s="251"/>
    </row>
    <row r="51" spans="1:13" ht="15.75">
      <c r="A51" s="256"/>
      <c r="B51" s="256"/>
      <c r="C51" s="256"/>
      <c r="D51" s="256"/>
      <c r="E51" s="256"/>
      <c r="F51" s="256"/>
      <c r="G51" s="364"/>
      <c r="H51" s="426"/>
      <c r="I51" s="256"/>
      <c r="J51" s="251"/>
      <c r="K51" s="251"/>
      <c r="L51" s="251"/>
      <c r="M51" s="251"/>
    </row>
    <row r="52" spans="1:8" ht="15.75">
      <c r="A52" s="420"/>
      <c r="B52" s="420"/>
      <c r="C52" s="420"/>
      <c r="D52" s="256"/>
      <c r="E52" s="251"/>
      <c r="F52" s="251"/>
      <c r="G52" s="251"/>
      <c r="H52" s="251"/>
    </row>
  </sheetData>
  <sheetProtection sheet="1"/>
  <mergeCells count="7">
    <mergeCell ref="A4:I4"/>
    <mergeCell ref="B13:B14"/>
    <mergeCell ref="C13:C14"/>
    <mergeCell ref="D13:D14"/>
    <mergeCell ref="E13:E14"/>
    <mergeCell ref="F13:F14"/>
    <mergeCell ref="G13:G14"/>
  </mergeCells>
  <printOptions horizontalCentered="1"/>
  <pageMargins left="0.75" right="0.75" top="1" bottom="1" header="0.5" footer="0.5"/>
  <pageSetup fitToHeight="1" fitToWidth="1" horizontalDpi="300" verticalDpi="300" orientation="portrait" scale="55" r:id="rId4"/>
  <headerFooter alignWithMargins="0">
    <oddFooter>&amp;L&amp;F&amp;CUniversity of Idaho&amp;R&amp;A</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M154"/>
  <sheetViews>
    <sheetView showGridLines="0" zoomScale="85" zoomScaleNormal="85" zoomScalePageLayoutView="0" workbookViewId="0" topLeftCell="A1">
      <selection activeCell="A3" sqref="A3"/>
    </sheetView>
  </sheetViews>
  <sheetFormatPr defaultColWidth="9.00390625" defaultRowHeight="14.25"/>
  <cols>
    <col min="1" max="1" width="29.125" style="1" customWidth="1"/>
    <col min="2" max="2" width="13.875" style="1" customWidth="1"/>
    <col min="3" max="4" width="12.625" style="1" customWidth="1"/>
    <col min="5" max="5" width="13.75390625" style="1" customWidth="1"/>
    <col min="6" max="6" width="12.625" style="1" customWidth="1"/>
    <col min="7" max="7" width="17.50390625" style="1" customWidth="1"/>
    <col min="8" max="8" width="14.25390625" style="1" customWidth="1"/>
    <col min="9" max="9" width="11.75390625" style="1" customWidth="1"/>
    <col min="10" max="16384" width="9.00390625" style="1" customWidth="1"/>
  </cols>
  <sheetData>
    <row r="1" spans="1:13" ht="15">
      <c r="A1" s="327" t="s">
        <v>178</v>
      </c>
      <c r="B1" s="251"/>
      <c r="C1" s="251"/>
      <c r="D1" s="251"/>
      <c r="E1" s="251"/>
      <c r="F1" s="251"/>
      <c r="G1" s="251"/>
      <c r="H1" s="251"/>
      <c r="I1" s="251"/>
      <c r="J1" s="251"/>
      <c r="K1" s="251"/>
      <c r="L1" s="251"/>
      <c r="M1" s="251"/>
    </row>
    <row r="2" spans="1:13" ht="18">
      <c r="A2" s="328" t="s">
        <v>179</v>
      </c>
      <c r="B2" s="251"/>
      <c r="C2" s="251"/>
      <c r="D2" s="251"/>
      <c r="E2" s="251"/>
      <c r="F2" s="251"/>
      <c r="G2" s="251"/>
      <c r="H2" s="251"/>
      <c r="I2" s="251"/>
      <c r="J2" s="251"/>
      <c r="K2" s="251"/>
      <c r="L2" s="251"/>
      <c r="M2" s="251"/>
    </row>
    <row r="3" spans="1:13" ht="15.75">
      <c r="A3" s="20"/>
      <c r="B3" s="20"/>
      <c r="C3" s="20"/>
      <c r="D3" s="20"/>
      <c r="E3" s="20"/>
      <c r="F3" s="20"/>
      <c r="G3" s="20"/>
      <c r="H3" s="20"/>
      <c r="I3" s="20"/>
      <c r="J3" s="41"/>
      <c r="K3" s="41"/>
      <c r="L3" s="251"/>
      <c r="M3" s="251"/>
    </row>
    <row r="4" spans="1:13" ht="18.75">
      <c r="A4" s="791" t="s">
        <v>180</v>
      </c>
      <c r="B4" s="791"/>
      <c r="C4" s="791"/>
      <c r="D4" s="791"/>
      <c r="E4" s="791"/>
      <c r="F4" s="791"/>
      <c r="G4" s="791"/>
      <c r="H4" s="791"/>
      <c r="I4" s="791"/>
      <c r="J4" s="421"/>
      <c r="K4" s="41"/>
      <c r="L4" s="251"/>
      <c r="M4" s="251"/>
    </row>
    <row r="5" spans="1:13" ht="15.75">
      <c r="A5" s="20"/>
      <c r="B5" s="20"/>
      <c r="C5" s="20"/>
      <c r="D5" s="20"/>
      <c r="E5" s="20"/>
      <c r="F5" s="20"/>
      <c r="G5" s="20"/>
      <c r="H5" s="20"/>
      <c r="I5" s="20"/>
      <c r="J5" s="41"/>
      <c r="K5" s="41"/>
      <c r="L5" s="251"/>
      <c r="M5" s="251"/>
    </row>
    <row r="6" spans="1:13" ht="22.5">
      <c r="A6" s="20" t="s">
        <v>181</v>
      </c>
      <c r="B6" s="20"/>
      <c r="C6" s="20"/>
      <c r="D6" s="20"/>
      <c r="E6" s="20"/>
      <c r="F6" s="20"/>
      <c r="G6" s="516" t="str">
        <f>'Fixed Cash Lease'!G6</f>
        <v>n</v>
      </c>
      <c r="H6" s="20" t="s">
        <v>182</v>
      </c>
      <c r="I6" s="20"/>
      <c r="J6" s="41"/>
      <c r="K6" s="41"/>
      <c r="L6" s="251"/>
      <c r="M6" s="251"/>
    </row>
    <row r="7" spans="2:13" ht="15.75">
      <c r="B7" s="20"/>
      <c r="C7" s="20"/>
      <c r="D7" s="20"/>
      <c r="E7" s="20"/>
      <c r="F7" s="20"/>
      <c r="G7" s="20" t="s">
        <v>288</v>
      </c>
      <c r="H7" s="20"/>
      <c r="I7" s="20"/>
      <c r="J7" s="41"/>
      <c r="K7" s="41"/>
      <c r="L7" s="251"/>
      <c r="M7" s="251"/>
    </row>
    <row r="8" spans="1:13" ht="15.75">
      <c r="A8" s="20" t="s">
        <v>183</v>
      </c>
      <c r="B8" s="20"/>
      <c r="C8" s="20"/>
      <c r="D8" s="20"/>
      <c r="E8" s="20"/>
      <c r="F8" s="20"/>
      <c r="G8" s="1" t="s">
        <v>287</v>
      </c>
      <c r="H8" s="20"/>
      <c r="I8" s="20"/>
      <c r="J8" s="41"/>
      <c r="K8" s="41"/>
      <c r="L8" s="251"/>
      <c r="M8" s="251"/>
    </row>
    <row r="9" spans="1:13" ht="15.75">
      <c r="A9" s="20" t="s">
        <v>184</v>
      </c>
      <c r="B9" s="20"/>
      <c r="C9" s="20"/>
      <c r="D9" s="20"/>
      <c r="E9" s="20"/>
      <c r="F9" s="20"/>
      <c r="G9" s="20"/>
      <c r="H9" s="20"/>
      <c r="I9" s="20"/>
      <c r="J9" s="332"/>
      <c r="K9" s="41"/>
      <c r="L9" s="251"/>
      <c r="M9" s="251"/>
    </row>
    <row r="10" spans="1:13" ht="15.75">
      <c r="A10" s="20" t="s">
        <v>185</v>
      </c>
      <c r="B10" s="20"/>
      <c r="C10" s="20"/>
      <c r="D10" s="20"/>
      <c r="E10" s="20"/>
      <c r="F10" s="20"/>
      <c r="G10" s="20"/>
      <c r="H10" s="20"/>
      <c r="I10" s="20"/>
      <c r="J10" s="41"/>
      <c r="K10" s="41"/>
      <c r="L10" s="251"/>
      <c r="M10" s="251"/>
    </row>
    <row r="11" spans="1:13" ht="15.75">
      <c r="A11" s="20" t="s">
        <v>186</v>
      </c>
      <c r="B11" s="20"/>
      <c r="C11" s="20"/>
      <c r="D11" s="20"/>
      <c r="E11" s="20"/>
      <c r="F11" s="20"/>
      <c r="G11" s="20"/>
      <c r="H11" s="20"/>
      <c r="I11" s="43"/>
      <c r="J11" s="41"/>
      <c r="K11" s="41"/>
      <c r="L11" s="251"/>
      <c r="M11" s="251"/>
    </row>
    <row r="12" spans="1:13" s="411" customFormat="1" ht="15.75">
      <c r="A12" s="196"/>
      <c r="B12" s="196"/>
      <c r="C12" s="196"/>
      <c r="D12" s="196"/>
      <c r="E12" s="196"/>
      <c r="F12" s="196"/>
      <c r="G12" s="196"/>
      <c r="H12" s="196"/>
      <c r="I12" s="196"/>
      <c r="J12" s="421"/>
      <c r="K12" s="421"/>
      <c r="L12" s="415"/>
      <c r="M12" s="415"/>
    </row>
    <row r="13" spans="1:13" s="411" customFormat="1" ht="15.75">
      <c r="A13" s="196" t="s">
        <v>241</v>
      </c>
      <c r="B13" s="196"/>
      <c r="C13" s="196"/>
      <c r="D13" s="196"/>
      <c r="E13" s="196"/>
      <c r="F13" s="196"/>
      <c r="G13" s="196"/>
      <c r="H13" s="196"/>
      <c r="I13" s="196"/>
      <c r="J13" s="421"/>
      <c r="K13" s="421"/>
      <c r="L13" s="415"/>
      <c r="M13" s="415"/>
    </row>
    <row r="14" spans="1:13" s="411" customFormat="1" ht="15.75">
      <c r="A14" s="196" t="s">
        <v>242</v>
      </c>
      <c r="B14" s="196"/>
      <c r="C14" s="196"/>
      <c r="D14" s="196"/>
      <c r="E14" s="196"/>
      <c r="F14" s="196"/>
      <c r="G14" s="196"/>
      <c r="H14" s="196"/>
      <c r="I14" s="196"/>
      <c r="J14" s="421"/>
      <c r="K14" s="421"/>
      <c r="L14" s="415"/>
      <c r="M14" s="415"/>
    </row>
    <row r="15" spans="1:13" s="411" customFormat="1" ht="15.75">
      <c r="A15" s="196" t="s">
        <v>244</v>
      </c>
      <c r="B15" s="196"/>
      <c r="C15" s="196"/>
      <c r="D15" s="196"/>
      <c r="E15" s="196"/>
      <c r="F15" s="196"/>
      <c r="G15" s="196"/>
      <c r="H15" s="196"/>
      <c r="I15" s="196"/>
      <c r="J15" s="421"/>
      <c r="K15" s="421"/>
      <c r="L15" s="415"/>
      <c r="M15" s="415"/>
    </row>
    <row r="16" spans="1:13" s="411" customFormat="1" ht="15.75">
      <c r="A16" s="196" t="s">
        <v>245</v>
      </c>
      <c r="B16" s="196"/>
      <c r="C16" s="196"/>
      <c r="D16" s="196"/>
      <c r="E16" s="196"/>
      <c r="F16" s="196"/>
      <c r="G16" s="196"/>
      <c r="H16" s="196"/>
      <c r="I16" s="196"/>
      <c r="J16" s="421"/>
      <c r="K16" s="421"/>
      <c r="L16" s="415"/>
      <c r="M16" s="415"/>
    </row>
    <row r="17" spans="1:13" s="411" customFormat="1" ht="15.75">
      <c r="A17" s="196"/>
      <c r="B17" s="196"/>
      <c r="C17" s="196"/>
      <c r="D17" s="196"/>
      <c r="E17" s="196"/>
      <c r="F17" s="196"/>
      <c r="G17" s="196"/>
      <c r="H17" s="196"/>
      <c r="I17" s="196"/>
      <c r="J17" s="421"/>
      <c r="K17" s="421"/>
      <c r="L17" s="415"/>
      <c r="M17" s="415"/>
    </row>
    <row r="18" spans="1:13" s="411" customFormat="1" ht="15" customHeight="1">
      <c r="A18" s="196"/>
      <c r="B18" s="196"/>
      <c r="C18" s="173" t="s">
        <v>201</v>
      </c>
      <c r="D18" s="196"/>
      <c r="E18" s="196"/>
      <c r="F18" s="173" t="s">
        <v>217</v>
      </c>
      <c r="G18" s="196"/>
      <c r="H18" s="196"/>
      <c r="I18" s="196"/>
      <c r="J18" s="421"/>
      <c r="K18" s="421"/>
      <c r="L18" s="415"/>
      <c r="M18" s="415"/>
    </row>
    <row r="19" spans="1:13" s="411" customFormat="1" ht="15.75">
      <c r="A19" s="196"/>
      <c r="B19" s="196" t="s">
        <v>247</v>
      </c>
      <c r="C19" s="196" t="s">
        <v>187</v>
      </c>
      <c r="D19" s="196"/>
      <c r="E19" s="196" t="s">
        <v>246</v>
      </c>
      <c r="F19" s="196" t="s">
        <v>188</v>
      </c>
      <c r="G19" s="196"/>
      <c r="H19" s="196"/>
      <c r="I19" s="196"/>
      <c r="J19" s="421"/>
      <c r="K19" s="421"/>
      <c r="L19" s="415"/>
      <c r="M19" s="415"/>
    </row>
    <row r="20" spans="1:13" s="411" customFormat="1" ht="15.75">
      <c r="A20" s="196"/>
      <c r="B20" s="196"/>
      <c r="C20" s="196"/>
      <c r="D20" s="196"/>
      <c r="E20" s="196"/>
      <c r="F20" s="196"/>
      <c r="G20" s="196"/>
      <c r="H20" s="196"/>
      <c r="I20" s="196"/>
      <c r="J20" s="421"/>
      <c r="K20" s="421"/>
      <c r="L20" s="415"/>
      <c r="M20" s="415"/>
    </row>
    <row r="21" spans="1:13" s="411" customFormat="1" ht="15.75">
      <c r="A21" s="196"/>
      <c r="B21" s="196"/>
      <c r="C21" s="196"/>
      <c r="D21" s="196"/>
      <c r="E21" s="196"/>
      <c r="F21" s="196"/>
      <c r="G21" s="196"/>
      <c r="H21" s="196"/>
      <c r="I21" s="196"/>
      <c r="J21" s="421"/>
      <c r="K21" s="421"/>
      <c r="L21" s="415"/>
      <c r="M21" s="415"/>
    </row>
    <row r="22" spans="2:13" s="411" customFormat="1" ht="15.75">
      <c r="B22" s="196" t="s">
        <v>236</v>
      </c>
      <c r="C22" s="196"/>
      <c r="D22" s="196"/>
      <c r="E22" s="196"/>
      <c r="F22" s="196"/>
      <c r="G22" s="196"/>
      <c r="H22" s="435"/>
      <c r="I22" s="294"/>
      <c r="J22" s="415"/>
      <c r="K22" s="415"/>
      <c r="L22" s="415"/>
      <c r="M22" s="415"/>
    </row>
    <row r="23" spans="1:13" s="411" customFormat="1" ht="15.75" customHeight="1">
      <c r="A23" s="196"/>
      <c r="B23" s="806" t="str">
        <f>Crops!B10</f>
        <v>Potatoes: No-Storage</v>
      </c>
      <c r="C23" s="806" t="str">
        <f>Crops!C10</f>
        <v>Hard Red Spring Wheat</v>
      </c>
      <c r="D23" s="806" t="str">
        <f>Crops!$D$10</f>
        <v>Soft White Winter Wheat</v>
      </c>
      <c r="E23" s="806" t="str">
        <f>Crops!$E$10</f>
        <v>Malting Barley</v>
      </c>
      <c r="F23" s="806" t="str">
        <f>Crops!$F$10</f>
        <v>Field Corn </v>
      </c>
      <c r="G23" s="806" t="str">
        <f>Crops!$G$10</f>
        <v>Sugarbeets</v>
      </c>
      <c r="H23" s="453"/>
      <c r="I23" s="294"/>
      <c r="J23" s="415"/>
      <c r="K23" s="415"/>
      <c r="L23" s="415"/>
      <c r="M23" s="415"/>
    </row>
    <row r="24" spans="1:13" s="411" customFormat="1" ht="15.75">
      <c r="A24" s="418"/>
      <c r="B24" s="807"/>
      <c r="C24" s="807"/>
      <c r="D24" s="807"/>
      <c r="E24" s="807"/>
      <c r="F24" s="807"/>
      <c r="G24" s="807"/>
      <c r="H24" s="454" t="s">
        <v>13</v>
      </c>
      <c r="I24" s="294"/>
      <c r="J24" s="415"/>
      <c r="K24" s="415"/>
      <c r="L24" s="415"/>
      <c r="M24" s="415"/>
    </row>
    <row r="25" spans="1:13" s="411" customFormat="1" ht="15.75">
      <c r="A25" s="418" t="s">
        <v>15</v>
      </c>
      <c r="B25" s="449">
        <f>Crops!B12</f>
        <v>100</v>
      </c>
      <c r="C25" s="449">
        <f>Crops!C12</f>
        <v>100</v>
      </c>
      <c r="D25" s="449">
        <f>Crops!D12</f>
        <v>100</v>
      </c>
      <c r="E25" s="449">
        <f>Crops!E12</f>
        <v>100</v>
      </c>
      <c r="F25" s="452">
        <f>Crops!F12</f>
        <v>100</v>
      </c>
      <c r="G25" s="449">
        <f>Crops!G12</f>
        <v>100</v>
      </c>
      <c r="H25" s="454">
        <f>SUM(B25:G25)</f>
        <v>600</v>
      </c>
      <c r="I25" s="294"/>
      <c r="J25" s="415"/>
      <c r="K25" s="415"/>
      <c r="L25" s="415"/>
      <c r="M25" s="415"/>
    </row>
    <row r="26" spans="1:13" s="411" customFormat="1" ht="15.75">
      <c r="A26" s="423" t="s">
        <v>187</v>
      </c>
      <c r="B26" s="450">
        <f>Crops!B13</f>
        <v>350</v>
      </c>
      <c r="C26" s="450">
        <f>Crops!C13</f>
        <v>100</v>
      </c>
      <c r="D26" s="450">
        <f>Crops!D13</f>
        <v>115</v>
      </c>
      <c r="E26" s="450">
        <f>Crops!$E$13</f>
        <v>58</v>
      </c>
      <c r="F26" s="450">
        <f>Crops!F13</f>
        <v>180</v>
      </c>
      <c r="G26" s="450">
        <f>Crops!G13</f>
        <v>32</v>
      </c>
      <c r="H26" s="474" t="s">
        <v>255</v>
      </c>
      <c r="I26" s="294"/>
      <c r="J26" s="415"/>
      <c r="K26" s="415"/>
      <c r="L26" s="415"/>
      <c r="M26" s="415"/>
    </row>
    <row r="27" spans="1:13" s="411" customFormat="1" ht="15.75">
      <c r="A27" s="436" t="s">
        <v>188</v>
      </c>
      <c r="B27" s="451">
        <f>Crops!B14</f>
        <v>5.75</v>
      </c>
      <c r="C27" s="451">
        <f>Crops!C14</f>
        <v>6</v>
      </c>
      <c r="D27" s="451">
        <f>Crops!D14</f>
        <v>5</v>
      </c>
      <c r="E27" s="451">
        <f>Crops!$E$14</f>
        <v>7.5</v>
      </c>
      <c r="F27" s="451">
        <f>Crops!F14</f>
        <v>4</v>
      </c>
      <c r="G27" s="451">
        <f>Crops!G14</f>
        <v>38</v>
      </c>
      <c r="H27" s="475" t="s">
        <v>255</v>
      </c>
      <c r="I27" s="294"/>
      <c r="J27" s="415"/>
      <c r="K27" s="415"/>
      <c r="L27" s="415"/>
      <c r="M27" s="415"/>
    </row>
    <row r="28" spans="1:13" s="411" customFormat="1" ht="15.75">
      <c r="A28" s="423"/>
      <c r="B28" s="342"/>
      <c r="C28" s="366"/>
      <c r="D28" s="366"/>
      <c r="E28" s="366"/>
      <c r="F28" s="366"/>
      <c r="G28" s="342"/>
      <c r="H28" s="424"/>
      <c r="I28" s="294"/>
      <c r="J28" s="415"/>
      <c r="K28" s="415"/>
      <c r="L28" s="415"/>
      <c r="M28" s="415"/>
    </row>
    <row r="29" spans="1:13" s="411" customFormat="1" ht="15.75">
      <c r="A29" s="428" t="s">
        <v>238</v>
      </c>
      <c r="B29" s="342"/>
      <c r="C29" s="366"/>
      <c r="D29" s="366" t="s">
        <v>293</v>
      </c>
      <c r="E29" s="366"/>
      <c r="F29" s="366"/>
      <c r="G29" s="342"/>
      <c r="I29" s="294"/>
      <c r="J29" s="415"/>
      <c r="K29" s="415"/>
      <c r="L29" s="415"/>
      <c r="M29" s="415"/>
    </row>
    <row r="30" spans="1:13" s="411" customFormat="1" ht="15.75">
      <c r="A30" s="428" t="s">
        <v>231</v>
      </c>
      <c r="B30" s="342"/>
      <c r="C30" s="366"/>
      <c r="D30" s="366"/>
      <c r="E30" s="366"/>
      <c r="F30" s="366"/>
      <c r="G30" s="342"/>
      <c r="H30" s="424" t="s">
        <v>155</v>
      </c>
      <c r="I30" s="294"/>
      <c r="J30" s="415"/>
      <c r="K30" s="415"/>
      <c r="L30" s="415"/>
      <c r="M30" s="415"/>
    </row>
    <row r="31" spans="1:13" s="411" customFormat="1" ht="15.75">
      <c r="A31" s="514" t="s">
        <v>229</v>
      </c>
      <c r="B31" s="515">
        <f>'Fixed Cash Lease'!B29</f>
        <v>241.41290201182315</v>
      </c>
      <c r="C31" s="515">
        <f>'Fixed Cash Lease'!C29</f>
        <v>230.66860077067517</v>
      </c>
      <c r="D31" s="515">
        <f>'Fixed Cash Lease'!D29</f>
        <v>222.03567992809042</v>
      </c>
      <c r="E31" s="515">
        <f>'Fixed Cash Lease'!E29</f>
        <v>186.97423164942032</v>
      </c>
      <c r="F31" s="515">
        <f>'Fixed Cash Lease'!F29</f>
        <v>226.19116877072545</v>
      </c>
      <c r="G31" s="515">
        <f>'Fixed Cash Lease'!G29</f>
        <v>222.97077040095618</v>
      </c>
      <c r="H31" s="515">
        <f>'Fixed Cash Lease'!H29</f>
        <v>222.0009105473321</v>
      </c>
      <c r="I31" s="294"/>
      <c r="J31" s="415"/>
      <c r="K31" s="415"/>
      <c r="L31" s="415"/>
      <c r="M31" s="415"/>
    </row>
    <row r="32" spans="1:13" s="411" customFormat="1" ht="15.75">
      <c r="A32" s="514"/>
      <c r="B32" s="515"/>
      <c r="C32" s="515"/>
      <c r="D32" s="515"/>
      <c r="E32" s="515"/>
      <c r="F32" s="515"/>
      <c r="G32" s="515"/>
      <c r="H32" s="515"/>
      <c r="I32" s="294"/>
      <c r="J32" s="415"/>
      <c r="K32" s="415"/>
      <c r="L32" s="415"/>
      <c r="M32" s="415"/>
    </row>
    <row r="33" spans="8:13" s="411" customFormat="1" ht="15.75">
      <c r="H33" s="411" t="s">
        <v>13</v>
      </c>
      <c r="I33" s="294"/>
      <c r="J33" s="415"/>
      <c r="K33" s="415"/>
      <c r="L33" s="415"/>
      <c r="M33" s="415"/>
    </row>
    <row r="34" spans="1:13" s="411" customFormat="1" ht="15.75">
      <c r="A34" s="416" t="s">
        <v>230</v>
      </c>
      <c r="B34" s="414">
        <f aca="true" t="shared" si="0" ref="B34:G34">B31*B25</f>
        <v>24141.290201182313</v>
      </c>
      <c r="C34" s="414">
        <f t="shared" si="0"/>
        <v>23066.86007706752</v>
      </c>
      <c r="D34" s="414">
        <f t="shared" si="0"/>
        <v>22203.567992809043</v>
      </c>
      <c r="E34" s="414">
        <f t="shared" si="0"/>
        <v>18697.423164942033</v>
      </c>
      <c r="F34" s="414">
        <f t="shared" si="0"/>
        <v>22619.116877072545</v>
      </c>
      <c r="G34" s="414">
        <f t="shared" si="0"/>
        <v>22297.077040095617</v>
      </c>
      <c r="H34" s="417">
        <f>SUM(B34:G34)</f>
        <v>133025.33535316907</v>
      </c>
      <c r="I34" s="294"/>
      <c r="J34" s="415"/>
      <c r="K34" s="415"/>
      <c r="L34" s="415"/>
      <c r="M34" s="415"/>
    </row>
    <row r="35" spans="1:13" ht="15.75">
      <c r="A35" s="256"/>
      <c r="B35" s="256"/>
      <c r="C35" s="256"/>
      <c r="D35" s="256"/>
      <c r="E35" s="251"/>
      <c r="F35" s="256"/>
      <c r="G35" s="364"/>
      <c r="H35" s="410"/>
      <c r="I35" s="294"/>
      <c r="J35" s="251"/>
      <c r="K35" s="251"/>
      <c r="L35" s="251"/>
      <c r="M35" s="251"/>
    </row>
    <row r="36" spans="1:13" ht="20.25">
      <c r="A36" s="805" t="s">
        <v>251</v>
      </c>
      <c r="B36" s="805"/>
      <c r="C36" s="805"/>
      <c r="D36" s="805"/>
      <c r="E36" s="805"/>
      <c r="F36" s="805"/>
      <c r="G36" s="805"/>
      <c r="H36" s="805"/>
      <c r="I36" s="294"/>
      <c r="J36" s="415"/>
      <c r="K36" s="251"/>
      <c r="L36" s="251"/>
      <c r="M36" s="251"/>
    </row>
    <row r="37" spans="1:13" ht="15.75">
      <c r="A37" s="367" t="s">
        <v>237</v>
      </c>
      <c r="B37" s="256"/>
      <c r="C37" s="256"/>
      <c r="D37" s="256"/>
      <c r="E37" s="256"/>
      <c r="F37" s="256"/>
      <c r="G37" s="256"/>
      <c r="H37" s="256"/>
      <c r="I37" s="256"/>
      <c r="J37" s="251"/>
      <c r="K37" s="251"/>
      <c r="L37" s="251"/>
      <c r="M37" s="251"/>
    </row>
    <row r="38" spans="1:13" ht="15.75">
      <c r="A38" s="367" t="s">
        <v>200</v>
      </c>
      <c r="B38" s="256"/>
      <c r="C38" s="256"/>
      <c r="D38" s="256"/>
      <c r="E38" s="256"/>
      <c r="F38" s="256"/>
      <c r="G38" s="256"/>
      <c r="H38" s="256"/>
      <c r="I38" s="256"/>
      <c r="J38" s="251"/>
      <c r="K38" s="251"/>
      <c r="L38" s="251"/>
      <c r="M38" s="251"/>
    </row>
    <row r="39" spans="1:13" ht="15.75">
      <c r="A39" s="256"/>
      <c r="B39" s="256"/>
      <c r="C39" s="256"/>
      <c r="D39" s="256"/>
      <c r="E39" s="256"/>
      <c r="F39" s="256"/>
      <c r="G39" s="256"/>
      <c r="H39" s="256"/>
      <c r="I39" s="256"/>
      <c r="J39" s="251"/>
      <c r="K39" s="251"/>
      <c r="L39" s="251"/>
      <c r="M39" s="251"/>
    </row>
    <row r="40" spans="1:13" ht="15.75">
      <c r="A40" s="367"/>
      <c r="B40" s="256"/>
      <c r="C40" s="256"/>
      <c r="D40" s="256"/>
      <c r="E40" s="256"/>
      <c r="F40" s="256"/>
      <c r="G40" s="256"/>
      <c r="H40" s="256"/>
      <c r="I40" s="251"/>
      <c r="J40" s="251"/>
      <c r="K40" s="251"/>
      <c r="L40" s="251"/>
      <c r="M40" s="251"/>
    </row>
    <row r="41" spans="1:13" ht="15.75">
      <c r="A41" s="256"/>
      <c r="B41" s="256"/>
      <c r="C41" s="256"/>
      <c r="D41" s="256"/>
      <c r="E41" s="256"/>
      <c r="F41" s="256"/>
      <c r="G41" s="365"/>
      <c r="H41" s="256"/>
      <c r="I41" s="251"/>
      <c r="J41" s="251"/>
      <c r="K41" s="251"/>
      <c r="L41" s="251"/>
      <c r="M41" s="251"/>
    </row>
    <row r="42" spans="1:13" ht="15.75">
      <c r="A42" s="360" t="s">
        <v>202</v>
      </c>
      <c r="B42" s="251"/>
      <c r="C42" s="256"/>
      <c r="D42" s="256" t="s">
        <v>292</v>
      </c>
      <c r="E42" s="256"/>
      <c r="F42" s="365"/>
      <c r="G42" s="326"/>
      <c r="H42" s="368"/>
      <c r="I42" s="251"/>
      <c r="J42" s="251"/>
      <c r="K42" s="251"/>
      <c r="L42" s="251"/>
      <c r="M42" s="251"/>
    </row>
    <row r="43" spans="1:13" ht="15.75">
      <c r="A43" s="256" t="s">
        <v>239</v>
      </c>
      <c r="B43" s="256"/>
      <c r="C43" s="256"/>
      <c r="D43" s="256"/>
      <c r="E43" s="256"/>
      <c r="F43" s="256"/>
      <c r="G43" s="365"/>
      <c r="H43" s="256"/>
      <c r="I43" s="251"/>
      <c r="J43" s="251"/>
      <c r="K43" s="251"/>
      <c r="L43" s="251"/>
      <c r="M43" s="251"/>
    </row>
    <row r="44" spans="1:13" ht="15.75">
      <c r="A44" s="256"/>
      <c r="B44" s="256"/>
      <c r="C44" s="256"/>
      <c r="D44" s="256"/>
      <c r="E44" s="256"/>
      <c r="F44" s="256"/>
      <c r="G44" s="256"/>
      <c r="H44" s="256"/>
      <c r="I44" s="251"/>
      <c r="J44" s="251"/>
      <c r="K44" s="251"/>
      <c r="L44" s="251"/>
      <c r="M44" s="251"/>
    </row>
    <row r="45" spans="1:13" ht="15.75">
      <c r="A45" s="422" t="s">
        <v>0</v>
      </c>
      <c r="B45" s="256"/>
      <c r="C45" s="256"/>
      <c r="D45" s="256"/>
      <c r="E45" s="256"/>
      <c r="F45" s="256"/>
      <c r="G45" s="256"/>
      <c r="H45" s="256"/>
      <c r="I45" s="251"/>
      <c r="J45" s="251"/>
      <c r="K45" s="251"/>
      <c r="L45" s="251"/>
      <c r="M45" s="251"/>
    </row>
    <row r="46" spans="1:13" ht="15.75">
      <c r="A46" s="256"/>
      <c r="B46" s="256"/>
      <c r="C46" s="256"/>
      <c r="D46" s="256"/>
      <c r="E46" s="256"/>
      <c r="F46" s="256"/>
      <c r="G46" s="256"/>
      <c r="H46" s="256"/>
      <c r="I46" s="256"/>
      <c r="J46" s="251"/>
      <c r="K46" s="251"/>
      <c r="L46" s="251"/>
      <c r="M46" s="251"/>
    </row>
    <row r="47" spans="1:13" ht="15.75">
      <c r="A47" s="256"/>
      <c r="B47" s="362" t="s">
        <v>203</v>
      </c>
      <c r="C47" s="256"/>
      <c r="D47" s="256"/>
      <c r="E47" s="256"/>
      <c r="F47" s="256"/>
      <c r="G47" s="256"/>
      <c r="H47" s="365"/>
      <c r="I47" s="256"/>
      <c r="J47" s="251"/>
      <c r="K47" s="251"/>
      <c r="L47" s="251"/>
      <c r="M47" s="251"/>
    </row>
    <row r="48" spans="1:13" ht="15.75">
      <c r="A48" s="256"/>
      <c r="B48" s="792" t="str">
        <f aca="true" t="shared" si="1" ref="B48:G48">B23</f>
        <v>Potatoes: No-Storage</v>
      </c>
      <c r="C48" s="794" t="str">
        <f t="shared" si="1"/>
        <v>Hard Red Spring Wheat</v>
      </c>
      <c r="D48" s="794" t="str">
        <f t="shared" si="1"/>
        <v>Soft White Winter Wheat</v>
      </c>
      <c r="E48" s="794" t="str">
        <f t="shared" si="1"/>
        <v>Malting Barley</v>
      </c>
      <c r="F48" s="794" t="str">
        <f t="shared" si="1"/>
        <v>Field Corn </v>
      </c>
      <c r="G48" s="803" t="str">
        <f t="shared" si="1"/>
        <v>Sugarbeets</v>
      </c>
      <c r="H48" s="360"/>
      <c r="I48" s="256"/>
      <c r="J48" s="251"/>
      <c r="K48" s="251"/>
      <c r="L48" s="251"/>
      <c r="M48" s="251"/>
    </row>
    <row r="49" spans="1:13" ht="15.75">
      <c r="A49" s="256"/>
      <c r="B49" s="796"/>
      <c r="C49" s="801"/>
      <c r="D49" s="801"/>
      <c r="E49" s="801"/>
      <c r="F49" s="801"/>
      <c r="G49" s="804"/>
      <c r="H49" s="256"/>
      <c r="I49" s="256"/>
      <c r="J49" s="251"/>
      <c r="K49" s="251"/>
      <c r="L49" s="251"/>
      <c r="M49" s="251"/>
    </row>
    <row r="50" spans="1:13" ht="15.75">
      <c r="A50" s="369" t="s">
        <v>201</v>
      </c>
      <c r="B50" s="370">
        <v>350</v>
      </c>
      <c r="C50" s="371">
        <v>105</v>
      </c>
      <c r="D50" s="371">
        <v>118</v>
      </c>
      <c r="E50" s="372">
        <v>58</v>
      </c>
      <c r="F50" s="371">
        <v>185</v>
      </c>
      <c r="G50" s="373">
        <v>30</v>
      </c>
      <c r="H50" s="256"/>
      <c r="I50" s="256"/>
      <c r="J50" s="251"/>
      <c r="K50" s="251"/>
      <c r="L50" s="251"/>
      <c r="M50" s="251"/>
    </row>
    <row r="51" spans="1:13" ht="15.75">
      <c r="A51" s="256" t="s">
        <v>204</v>
      </c>
      <c r="B51" s="374">
        <f>IF($B$26&lt;=0,0,B50/$B$26)</f>
        <v>1</v>
      </c>
      <c r="C51" s="374">
        <f>IF(C26&lt;=0,0,C50/C26)</f>
        <v>1.05</v>
      </c>
      <c r="D51" s="374">
        <f>IF(D26&lt;=0,0,D50/D26)</f>
        <v>1.0260869565217392</v>
      </c>
      <c r="E51" s="374">
        <f>IF(E26&lt;=0,0,E50/E26)</f>
        <v>1</v>
      </c>
      <c r="F51" s="374">
        <f>IF(F26&lt;=0,0,F50/F26)</f>
        <v>1.0277777777777777</v>
      </c>
      <c r="G51" s="374">
        <f>IF(G26&lt;=0,0,G50/G26)</f>
        <v>0.9375</v>
      </c>
      <c r="H51" s="419"/>
      <c r="I51" s="256"/>
      <c r="J51" s="251"/>
      <c r="K51" s="251"/>
      <c r="L51" s="251"/>
      <c r="M51" s="251"/>
    </row>
    <row r="52" spans="1:13" ht="15.75">
      <c r="A52" s="256"/>
      <c r="B52" s="256"/>
      <c r="C52" s="256"/>
      <c r="D52" s="256"/>
      <c r="E52" s="256"/>
      <c r="F52" s="256"/>
      <c r="G52" s="364"/>
      <c r="H52" s="419"/>
      <c r="I52" s="256"/>
      <c r="J52" s="251"/>
      <c r="K52" s="251"/>
      <c r="L52" s="251"/>
      <c r="M52" s="251"/>
    </row>
    <row r="53" spans="1:13" ht="15.75">
      <c r="A53" s="362" t="s">
        <v>232</v>
      </c>
      <c r="F53" s="2"/>
      <c r="G53" s="2"/>
      <c r="H53" s="590"/>
      <c r="I53" s="420"/>
      <c r="J53" s="591"/>
      <c r="K53" s="591"/>
      <c r="L53" s="251"/>
      <c r="M53" s="251"/>
    </row>
    <row r="54" spans="1:13" ht="15.75">
      <c r="A54" s="364" t="s">
        <v>194</v>
      </c>
      <c r="B54" s="692">
        <f aca="true" t="shared" si="2" ref="B54:G54">B31*B51</f>
        <v>241.41290201182315</v>
      </c>
      <c r="C54" s="692">
        <f t="shared" si="2"/>
        <v>242.20203080920894</v>
      </c>
      <c r="D54" s="692">
        <f t="shared" si="2"/>
        <v>227.82791505664932</v>
      </c>
      <c r="E54" s="692">
        <f t="shared" si="2"/>
        <v>186.97423164942032</v>
      </c>
      <c r="F54" s="692">
        <f t="shared" si="2"/>
        <v>232.47425679213447</v>
      </c>
      <c r="G54" s="692">
        <f t="shared" si="2"/>
        <v>209.03509725089643</v>
      </c>
      <c r="H54" s="693" t="s">
        <v>13</v>
      </c>
      <c r="I54" s="420"/>
      <c r="J54" s="591"/>
      <c r="K54" s="591"/>
      <c r="L54" s="251"/>
      <c r="M54" s="251"/>
    </row>
    <row r="55" spans="1:13" ht="15.75">
      <c r="A55" s="445" t="s">
        <v>198</v>
      </c>
      <c r="B55" s="694">
        <f aca="true" t="shared" si="3" ref="B55:G55">B54*B25</f>
        <v>24141.290201182313</v>
      </c>
      <c r="C55" s="694">
        <f t="shared" si="3"/>
        <v>24220.20308092089</v>
      </c>
      <c r="D55" s="694">
        <f t="shared" si="3"/>
        <v>22782.791505664933</v>
      </c>
      <c r="E55" s="694">
        <f t="shared" si="3"/>
        <v>18697.423164942033</v>
      </c>
      <c r="F55" s="694">
        <f t="shared" si="3"/>
        <v>23247.425679213447</v>
      </c>
      <c r="G55" s="694">
        <f t="shared" si="3"/>
        <v>20903.509725089643</v>
      </c>
      <c r="H55" s="695">
        <f>SUM(B55:G55)</f>
        <v>133992.64335701326</v>
      </c>
      <c r="I55" s="420"/>
      <c r="J55" s="591"/>
      <c r="K55" s="591"/>
      <c r="L55" s="251"/>
      <c r="M55" s="251"/>
    </row>
    <row r="56" spans="1:13" ht="15.75">
      <c r="A56" s="256"/>
      <c r="B56" s="256"/>
      <c r="C56" s="256"/>
      <c r="D56" s="256"/>
      <c r="E56" s="256"/>
      <c r="F56" s="256"/>
      <c r="G56" s="256"/>
      <c r="H56" s="256"/>
      <c r="I56" s="420"/>
      <c r="J56" s="591"/>
      <c r="K56" s="591"/>
      <c r="L56" s="251"/>
      <c r="M56" s="251"/>
    </row>
    <row r="57" spans="1:13" ht="18.75">
      <c r="A57" s="256" t="s">
        <v>205</v>
      </c>
      <c r="B57" s="256"/>
      <c r="C57" s="375" t="s">
        <v>221</v>
      </c>
      <c r="D57" s="375"/>
      <c r="E57" s="375"/>
      <c r="F57" s="375"/>
      <c r="G57" s="375"/>
      <c r="H57" s="256"/>
      <c r="I57" s="420"/>
      <c r="J57" s="591"/>
      <c r="K57" s="591"/>
      <c r="L57" s="251"/>
      <c r="M57" s="251"/>
    </row>
    <row r="58" spans="1:13" ht="15.75">
      <c r="A58" s="256" t="s">
        <v>206</v>
      </c>
      <c r="B58" s="376">
        <v>0.02</v>
      </c>
      <c r="C58" s="375" t="s">
        <v>248</v>
      </c>
      <c r="D58" s="375"/>
      <c r="E58" s="375"/>
      <c r="F58" s="375"/>
      <c r="G58" s="375"/>
      <c r="H58" s="438"/>
      <c r="I58" s="420"/>
      <c r="J58" s="591"/>
      <c r="K58" s="591"/>
      <c r="L58" s="251"/>
      <c r="M58" s="251"/>
    </row>
    <row r="59" spans="1:13" ht="15.75">
      <c r="A59" s="256"/>
      <c r="B59" s="792" t="str">
        <f aca="true" t="shared" si="4" ref="B59:G59">B23</f>
        <v>Potatoes: No-Storage</v>
      </c>
      <c r="C59" s="794" t="str">
        <f t="shared" si="4"/>
        <v>Hard Red Spring Wheat</v>
      </c>
      <c r="D59" s="794" t="str">
        <f t="shared" si="4"/>
        <v>Soft White Winter Wheat</v>
      </c>
      <c r="E59" s="794" t="str">
        <f t="shared" si="4"/>
        <v>Malting Barley</v>
      </c>
      <c r="F59" s="794" t="str">
        <f t="shared" si="4"/>
        <v>Field Corn </v>
      </c>
      <c r="G59" s="794" t="str">
        <f t="shared" si="4"/>
        <v>Sugarbeets</v>
      </c>
      <c r="H59" s="438"/>
      <c r="I59" s="420"/>
      <c r="J59" s="591"/>
      <c r="K59" s="591"/>
      <c r="L59" s="251"/>
      <c r="M59" s="251"/>
    </row>
    <row r="60" spans="1:13" ht="15.75">
      <c r="A60" s="377" t="s">
        <v>208</v>
      </c>
      <c r="B60" s="796"/>
      <c r="C60" s="801"/>
      <c r="D60" s="801"/>
      <c r="E60" s="801"/>
      <c r="F60" s="801"/>
      <c r="G60" s="802"/>
      <c r="H60" s="438"/>
      <c r="I60" s="256"/>
      <c r="J60" s="251"/>
      <c r="K60" s="251"/>
      <c r="L60" s="251"/>
      <c r="M60" s="251"/>
    </row>
    <row r="61" spans="1:13" ht="15.75">
      <c r="A61" s="447" t="s">
        <v>209</v>
      </c>
      <c r="B61" s="378">
        <f aca="true" t="shared" si="5" ref="B61:G61">B64*(1-(3*$B$58))</f>
        <v>329</v>
      </c>
      <c r="C61" s="379">
        <f t="shared" si="5"/>
        <v>94</v>
      </c>
      <c r="D61" s="379">
        <f t="shared" si="5"/>
        <v>108.1</v>
      </c>
      <c r="E61" s="379">
        <f t="shared" si="5"/>
        <v>54.519999999999996</v>
      </c>
      <c r="F61" s="379">
        <f t="shared" si="5"/>
        <v>169.2</v>
      </c>
      <c r="G61" s="379">
        <f t="shared" si="5"/>
        <v>30.08</v>
      </c>
      <c r="H61" s="430"/>
      <c r="I61" s="256"/>
      <c r="J61" s="251"/>
      <c r="K61" s="251"/>
      <c r="L61" s="251"/>
      <c r="M61" s="251"/>
    </row>
    <row r="62" spans="1:13" ht="15.75">
      <c r="A62" s="447" t="s">
        <v>210</v>
      </c>
      <c r="B62" s="381">
        <f aca="true" t="shared" si="6" ref="B62:G62">B64*(1-(2*$B$58))</f>
        <v>336</v>
      </c>
      <c r="C62" s="379">
        <f t="shared" si="6"/>
        <v>96</v>
      </c>
      <c r="D62" s="379">
        <f t="shared" si="6"/>
        <v>110.39999999999999</v>
      </c>
      <c r="E62" s="379">
        <f t="shared" si="6"/>
        <v>55.68</v>
      </c>
      <c r="F62" s="379">
        <f t="shared" si="6"/>
        <v>172.79999999999998</v>
      </c>
      <c r="G62" s="379">
        <f t="shared" si="6"/>
        <v>30.72</v>
      </c>
      <c r="H62" s="430"/>
      <c r="I62" s="256"/>
      <c r="J62" s="251"/>
      <c r="K62" s="251"/>
      <c r="L62" s="251"/>
      <c r="M62" s="251"/>
    </row>
    <row r="63" spans="1:13" ht="15.75">
      <c r="A63" s="447" t="s">
        <v>211</v>
      </c>
      <c r="B63" s="381">
        <f aca="true" t="shared" si="7" ref="B63:G63">B64*(1-$B$58)</f>
        <v>343</v>
      </c>
      <c r="C63" s="379">
        <f t="shared" si="7"/>
        <v>98</v>
      </c>
      <c r="D63" s="379">
        <f t="shared" si="7"/>
        <v>112.7</v>
      </c>
      <c r="E63" s="379">
        <f t="shared" si="7"/>
        <v>56.839999999999996</v>
      </c>
      <c r="F63" s="379">
        <f t="shared" si="7"/>
        <v>176.4</v>
      </c>
      <c r="G63" s="379">
        <f t="shared" si="7"/>
        <v>31.36</v>
      </c>
      <c r="H63" s="430"/>
      <c r="I63" s="420"/>
      <c r="J63" s="251"/>
      <c r="K63" s="251"/>
      <c r="L63" s="251"/>
      <c r="M63" s="251"/>
    </row>
    <row r="64" spans="1:13" ht="15.75">
      <c r="A64" s="382" t="s">
        <v>187</v>
      </c>
      <c r="B64" s="383">
        <f aca="true" t="shared" si="8" ref="B64:G64">B26</f>
        <v>350</v>
      </c>
      <c r="C64" s="384">
        <f t="shared" si="8"/>
        <v>100</v>
      </c>
      <c r="D64" s="384">
        <f t="shared" si="8"/>
        <v>115</v>
      </c>
      <c r="E64" s="384">
        <f t="shared" si="8"/>
        <v>58</v>
      </c>
      <c r="F64" s="384">
        <f t="shared" si="8"/>
        <v>180</v>
      </c>
      <c r="G64" s="384">
        <f t="shared" si="8"/>
        <v>32</v>
      </c>
      <c r="H64" s="439"/>
      <c r="I64" s="256"/>
      <c r="J64" s="251"/>
      <c r="K64" s="251"/>
      <c r="L64" s="251"/>
      <c r="M64" s="251"/>
    </row>
    <row r="65" spans="1:13" ht="15.75">
      <c r="A65" s="447" t="s">
        <v>212</v>
      </c>
      <c r="B65" s="381">
        <f aca="true" t="shared" si="9" ref="B65:G65">B64*(1+$B$58)</f>
        <v>357</v>
      </c>
      <c r="C65" s="379">
        <f t="shared" si="9"/>
        <v>102</v>
      </c>
      <c r="D65" s="379">
        <f t="shared" si="9"/>
        <v>117.3</v>
      </c>
      <c r="E65" s="379">
        <f t="shared" si="9"/>
        <v>59.160000000000004</v>
      </c>
      <c r="F65" s="379">
        <f t="shared" si="9"/>
        <v>183.6</v>
      </c>
      <c r="G65" s="379">
        <f t="shared" si="9"/>
        <v>32.64</v>
      </c>
      <c r="H65" s="430"/>
      <c r="I65" s="256"/>
      <c r="J65" s="251"/>
      <c r="K65" s="251"/>
      <c r="L65" s="251"/>
      <c r="M65" s="251"/>
    </row>
    <row r="66" spans="1:13" ht="15.75">
      <c r="A66" s="447" t="s">
        <v>213</v>
      </c>
      <c r="B66" s="381">
        <f aca="true" t="shared" si="10" ref="B66:G66">B64*(1+(2*$B$58))</f>
        <v>364</v>
      </c>
      <c r="C66" s="379">
        <f t="shared" si="10"/>
        <v>104</v>
      </c>
      <c r="D66" s="379">
        <f t="shared" si="10"/>
        <v>119.60000000000001</v>
      </c>
      <c r="E66" s="379">
        <f t="shared" si="10"/>
        <v>60.32</v>
      </c>
      <c r="F66" s="379">
        <f t="shared" si="10"/>
        <v>187.20000000000002</v>
      </c>
      <c r="G66" s="379">
        <f t="shared" si="10"/>
        <v>33.28</v>
      </c>
      <c r="H66" s="430"/>
      <c r="I66" s="256"/>
      <c r="J66" s="251"/>
      <c r="K66" s="251"/>
      <c r="L66" s="251"/>
      <c r="M66" s="251"/>
    </row>
    <row r="67" spans="1:13" ht="15.75">
      <c r="A67" s="448" t="s">
        <v>214</v>
      </c>
      <c r="B67" s="387">
        <f aca="true" t="shared" si="11" ref="B67:G67">B64*(1+(3*$B$58))</f>
        <v>371</v>
      </c>
      <c r="C67" s="388">
        <f t="shared" si="11"/>
        <v>106</v>
      </c>
      <c r="D67" s="388">
        <f t="shared" si="11"/>
        <v>121.9</v>
      </c>
      <c r="E67" s="388">
        <f t="shared" si="11"/>
        <v>61.480000000000004</v>
      </c>
      <c r="F67" s="388">
        <f t="shared" si="11"/>
        <v>190.8</v>
      </c>
      <c r="G67" s="388">
        <f t="shared" si="11"/>
        <v>33.92</v>
      </c>
      <c r="H67" s="430"/>
      <c r="I67" s="256"/>
      <c r="J67" s="251"/>
      <c r="K67" s="251"/>
      <c r="L67" s="251"/>
      <c r="M67" s="251"/>
    </row>
    <row r="68" spans="1:13" ht="15.75">
      <c r="A68" s="256"/>
      <c r="B68" s="256"/>
      <c r="C68" s="256"/>
      <c r="D68" s="256"/>
      <c r="E68" s="256"/>
      <c r="F68" s="256"/>
      <c r="G68" s="256"/>
      <c r="H68" s="256"/>
      <c r="I68" s="256"/>
      <c r="J68" s="256"/>
      <c r="K68" s="251"/>
      <c r="L68" s="251"/>
      <c r="M68" s="251"/>
    </row>
    <row r="69" spans="1:13" ht="15.75">
      <c r="A69" s="256"/>
      <c r="B69" s="256"/>
      <c r="C69" s="256"/>
      <c r="D69" s="256"/>
      <c r="E69" s="256"/>
      <c r="F69" s="256"/>
      <c r="G69" s="256"/>
      <c r="H69" s="256"/>
      <c r="I69" s="256"/>
      <c r="J69" s="256"/>
      <c r="K69" s="251"/>
      <c r="L69" s="251"/>
      <c r="M69" s="251"/>
    </row>
    <row r="70" spans="1:13" ht="13.5" customHeight="1">
      <c r="A70" s="256" t="s">
        <v>205</v>
      </c>
      <c r="B70" s="256"/>
      <c r="C70" s="375" t="s">
        <v>228</v>
      </c>
      <c r="D70" s="375"/>
      <c r="E70" s="375"/>
      <c r="F70" s="375"/>
      <c r="G70" s="375"/>
      <c r="H70" s="256"/>
      <c r="I70" s="256"/>
      <c r="J70" s="256"/>
      <c r="K70" s="251"/>
      <c r="L70" s="251"/>
      <c r="M70" s="251"/>
    </row>
    <row r="71" spans="1:13" ht="13.5" customHeight="1">
      <c r="A71" s="256" t="s">
        <v>206</v>
      </c>
      <c r="B71" s="444"/>
      <c r="C71" s="375" t="s">
        <v>248</v>
      </c>
      <c r="D71" s="375"/>
      <c r="E71" s="375"/>
      <c r="F71" s="375"/>
      <c r="G71" s="375"/>
      <c r="H71" s="365"/>
      <c r="I71" s="256"/>
      <c r="J71" s="256"/>
      <c r="K71" s="251"/>
      <c r="L71" s="251"/>
      <c r="M71" s="251"/>
    </row>
    <row r="72" spans="1:13" ht="13.5" customHeight="1">
      <c r="A72" s="256"/>
      <c r="B72" s="793" t="str">
        <f aca="true" t="shared" si="12" ref="B72:G72">B59</f>
        <v>Potatoes: No-Storage</v>
      </c>
      <c r="C72" s="792" t="str">
        <f t="shared" si="12"/>
        <v>Hard Red Spring Wheat</v>
      </c>
      <c r="D72" s="792" t="str">
        <f t="shared" si="12"/>
        <v>Soft White Winter Wheat</v>
      </c>
      <c r="E72" s="792" t="str">
        <f t="shared" si="12"/>
        <v>Malting Barley</v>
      </c>
      <c r="F72" s="792" t="str">
        <f t="shared" si="12"/>
        <v>Field Corn </v>
      </c>
      <c r="G72" s="792" t="str">
        <f t="shared" si="12"/>
        <v>Sugarbeets</v>
      </c>
      <c r="H72" s="799" t="s">
        <v>155</v>
      </c>
      <c r="I72" s="256"/>
      <c r="J72" s="256"/>
      <c r="K72" s="251"/>
      <c r="L72" s="251"/>
      <c r="M72" s="251"/>
    </row>
    <row r="73" spans="1:13" ht="15.75">
      <c r="A73" s="377" t="s">
        <v>234</v>
      </c>
      <c r="B73" s="796"/>
      <c r="C73" s="796"/>
      <c r="D73" s="796"/>
      <c r="E73" s="796"/>
      <c r="F73" s="796"/>
      <c r="G73" s="796"/>
      <c r="H73" s="800"/>
      <c r="I73" s="256"/>
      <c r="J73" s="256"/>
      <c r="K73" s="251"/>
      <c r="L73" s="251"/>
      <c r="M73" s="251"/>
    </row>
    <row r="74" spans="1:13" ht="15.75">
      <c r="A74" s="367" t="s">
        <v>209</v>
      </c>
      <c r="B74" s="427">
        <f aca="true" t="shared" si="13" ref="B74:H74">B77*(1-(3*$B$58))</f>
        <v>226.92812789111375</v>
      </c>
      <c r="C74" s="427">
        <f t="shared" si="13"/>
        <v>216.82848472443465</v>
      </c>
      <c r="D74" s="427">
        <f t="shared" si="13"/>
        <v>208.71353913240497</v>
      </c>
      <c r="E74" s="427">
        <f t="shared" si="13"/>
        <v>175.75577775045508</v>
      </c>
      <c r="F74" s="427">
        <f t="shared" si="13"/>
        <v>212.61969864448193</v>
      </c>
      <c r="G74" s="427">
        <f t="shared" si="13"/>
        <v>209.5925241768988</v>
      </c>
      <c r="H74" s="455">
        <f t="shared" si="13"/>
        <v>208.68085591449216</v>
      </c>
      <c r="I74" s="256"/>
      <c r="J74" s="256"/>
      <c r="K74" s="251"/>
      <c r="L74" s="251"/>
      <c r="M74" s="251"/>
    </row>
    <row r="75" spans="1:13" ht="15.75">
      <c r="A75" s="367" t="s">
        <v>210</v>
      </c>
      <c r="B75" s="380">
        <f aca="true" t="shared" si="14" ref="B75:H75">B77*(1-(2*$B$58))</f>
        <v>231.75638593135022</v>
      </c>
      <c r="C75" s="380">
        <f t="shared" si="14"/>
        <v>221.44185673984816</v>
      </c>
      <c r="D75" s="380">
        <f t="shared" si="14"/>
        <v>213.1542527309668</v>
      </c>
      <c r="E75" s="380">
        <f t="shared" si="14"/>
        <v>179.4952623834435</v>
      </c>
      <c r="F75" s="380">
        <f t="shared" si="14"/>
        <v>217.14352201989644</v>
      </c>
      <c r="G75" s="380">
        <f t="shared" si="14"/>
        <v>214.05193958491793</v>
      </c>
      <c r="H75" s="456">
        <f t="shared" si="14"/>
        <v>213.1208741254388</v>
      </c>
      <c r="I75" s="256"/>
      <c r="J75" s="256"/>
      <c r="K75" s="251"/>
      <c r="L75" s="251"/>
      <c r="M75" s="251"/>
    </row>
    <row r="76" spans="1:13" ht="15.75">
      <c r="A76" s="367" t="s">
        <v>211</v>
      </c>
      <c r="B76" s="380">
        <f aca="true" t="shared" si="15" ref="B76:H76">B77*(1-$B$58)</f>
        <v>236.58464397158667</v>
      </c>
      <c r="C76" s="380">
        <f t="shared" si="15"/>
        <v>226.05522875526165</v>
      </c>
      <c r="D76" s="380">
        <f t="shared" si="15"/>
        <v>217.5949663295286</v>
      </c>
      <c r="E76" s="380">
        <f t="shared" si="15"/>
        <v>183.2347470164319</v>
      </c>
      <c r="F76" s="380">
        <f t="shared" si="15"/>
        <v>221.66734539531095</v>
      </c>
      <c r="G76" s="380">
        <f t="shared" si="15"/>
        <v>218.51135499293704</v>
      </c>
      <c r="H76" s="457">
        <f t="shared" si="15"/>
        <v>217.56089233638545</v>
      </c>
      <c r="I76" s="256"/>
      <c r="J76" s="256"/>
      <c r="K76" s="251"/>
      <c r="L76" s="251"/>
      <c r="M76" s="251"/>
    </row>
    <row r="77" spans="1:13" ht="15.75">
      <c r="A77" s="382" t="s">
        <v>187</v>
      </c>
      <c r="B77" s="385">
        <f>B31</f>
        <v>241.41290201182315</v>
      </c>
      <c r="C77" s="385">
        <f aca="true" t="shared" si="16" ref="C77:H77">C31</f>
        <v>230.66860077067517</v>
      </c>
      <c r="D77" s="385">
        <f t="shared" si="16"/>
        <v>222.03567992809042</v>
      </c>
      <c r="E77" s="385">
        <f t="shared" si="16"/>
        <v>186.97423164942032</v>
      </c>
      <c r="F77" s="385">
        <f t="shared" si="16"/>
        <v>226.19116877072545</v>
      </c>
      <c r="G77" s="385">
        <f t="shared" si="16"/>
        <v>222.97077040095618</v>
      </c>
      <c r="H77" s="458">
        <f t="shared" si="16"/>
        <v>222.0009105473321</v>
      </c>
      <c r="I77" s="256"/>
      <c r="J77" s="256"/>
      <c r="K77" s="251"/>
      <c r="L77" s="251"/>
      <c r="M77" s="251"/>
    </row>
    <row r="78" spans="1:13" ht="15.75">
      <c r="A78" s="367" t="s">
        <v>212</v>
      </c>
      <c r="B78" s="380">
        <f aca="true" t="shared" si="17" ref="B78:H78">B77*(1+$B$58)</f>
        <v>246.24116005205963</v>
      </c>
      <c r="C78" s="380">
        <f t="shared" si="17"/>
        <v>235.2819727860887</v>
      </c>
      <c r="D78" s="380">
        <f t="shared" si="17"/>
        <v>226.47639352665223</v>
      </c>
      <c r="E78" s="380">
        <f t="shared" si="17"/>
        <v>190.71371628240874</v>
      </c>
      <c r="F78" s="380">
        <f t="shared" si="17"/>
        <v>230.71499214613996</v>
      </c>
      <c r="G78" s="380">
        <f t="shared" si="17"/>
        <v>227.43018580897532</v>
      </c>
      <c r="H78" s="455">
        <f t="shared" si="17"/>
        <v>226.44092875827874</v>
      </c>
      <c r="I78" s="256"/>
      <c r="J78" s="256"/>
      <c r="K78" s="251"/>
      <c r="L78" s="251"/>
      <c r="M78" s="251"/>
    </row>
    <row r="79" spans="1:13" ht="15.75">
      <c r="A79" s="367" t="s">
        <v>213</v>
      </c>
      <c r="B79" s="380">
        <f aca="true" t="shared" si="18" ref="B79:H79">B77*(1+(2*$B$58))</f>
        <v>251.06941809229608</v>
      </c>
      <c r="C79" s="380">
        <f t="shared" si="18"/>
        <v>239.89534480150218</v>
      </c>
      <c r="D79" s="380">
        <f t="shared" si="18"/>
        <v>230.91710712521405</v>
      </c>
      <c r="E79" s="380">
        <f t="shared" si="18"/>
        <v>194.45320091539713</v>
      </c>
      <c r="F79" s="380">
        <f t="shared" si="18"/>
        <v>235.23881552155447</v>
      </c>
      <c r="G79" s="380">
        <f t="shared" si="18"/>
        <v>231.88960121699444</v>
      </c>
      <c r="H79" s="456">
        <f t="shared" si="18"/>
        <v>230.8809469692254</v>
      </c>
      <c r="I79" s="256"/>
      <c r="J79" s="256"/>
      <c r="K79" s="251"/>
      <c r="L79" s="251"/>
      <c r="M79" s="251"/>
    </row>
    <row r="80" spans="1:13" ht="15.75">
      <c r="A80" s="386" t="s">
        <v>214</v>
      </c>
      <c r="B80" s="389">
        <f aca="true" t="shared" si="19" ref="B80:H80">B77*(1+(3*$B$58))</f>
        <v>255.89767613253255</v>
      </c>
      <c r="C80" s="389">
        <f t="shared" si="19"/>
        <v>244.5087168169157</v>
      </c>
      <c r="D80" s="389">
        <f t="shared" si="19"/>
        <v>235.35782072377586</v>
      </c>
      <c r="E80" s="389">
        <f t="shared" si="19"/>
        <v>198.19268554838555</v>
      </c>
      <c r="F80" s="389">
        <f t="shared" si="19"/>
        <v>239.76263889696898</v>
      </c>
      <c r="G80" s="389">
        <f t="shared" si="19"/>
        <v>236.34901662501358</v>
      </c>
      <c r="H80" s="457">
        <f t="shared" si="19"/>
        <v>235.32096518017204</v>
      </c>
      <c r="I80" s="256"/>
      <c r="J80" s="256"/>
      <c r="K80" s="251"/>
      <c r="L80" s="251"/>
      <c r="M80" s="251"/>
    </row>
    <row r="81" spans="1:13" ht="15.75">
      <c r="A81" s="256"/>
      <c r="B81" s="256"/>
      <c r="C81" s="256"/>
      <c r="D81" s="256"/>
      <c r="E81" s="256"/>
      <c r="F81" s="256"/>
      <c r="G81" s="256"/>
      <c r="H81" s="256"/>
      <c r="I81" s="256"/>
      <c r="J81" s="256"/>
      <c r="K81" s="251"/>
      <c r="L81" s="251"/>
      <c r="M81" s="251"/>
    </row>
    <row r="82" spans="1:13" ht="15.75">
      <c r="A82" s="256"/>
      <c r="B82" s="256"/>
      <c r="C82" s="256"/>
      <c r="D82" s="256"/>
      <c r="E82" s="256"/>
      <c r="F82" s="256"/>
      <c r="G82" s="256"/>
      <c r="H82" s="256"/>
      <c r="I82" s="256"/>
      <c r="J82" s="256"/>
      <c r="K82" s="251"/>
      <c r="L82" s="251"/>
      <c r="M82" s="251"/>
    </row>
    <row r="83" spans="1:13" ht="20.25">
      <c r="A83" s="805" t="s">
        <v>250</v>
      </c>
      <c r="B83" s="805"/>
      <c r="C83" s="805"/>
      <c r="D83" s="805"/>
      <c r="E83" s="805"/>
      <c r="F83" s="805"/>
      <c r="G83" s="805"/>
      <c r="H83" s="805"/>
      <c r="I83" s="269"/>
      <c r="J83" s="269"/>
      <c r="K83" s="251"/>
      <c r="L83" s="251"/>
      <c r="M83" s="251"/>
    </row>
    <row r="84" spans="1:13" ht="15.75">
      <c r="A84" s="256"/>
      <c r="B84" s="256"/>
      <c r="C84" s="256"/>
      <c r="D84" s="256"/>
      <c r="E84" s="256"/>
      <c r="F84" s="256"/>
      <c r="G84" s="256"/>
      <c r="H84" s="256"/>
      <c r="I84" s="251"/>
      <c r="J84" s="251"/>
      <c r="K84" s="251"/>
      <c r="L84" s="251"/>
      <c r="M84" s="251"/>
    </row>
    <row r="85" spans="1:13" ht="15.75">
      <c r="A85" s="256"/>
      <c r="B85" s="256"/>
      <c r="C85" s="256"/>
      <c r="D85" s="256"/>
      <c r="E85" s="256"/>
      <c r="F85" s="256"/>
      <c r="G85" s="256"/>
      <c r="H85" s="256"/>
      <c r="I85" s="251"/>
      <c r="J85" s="251"/>
      <c r="K85" s="251"/>
      <c r="L85" s="251"/>
      <c r="M85" s="251"/>
    </row>
    <row r="86" spans="1:13" ht="15.75">
      <c r="A86" s="256" t="s">
        <v>215</v>
      </c>
      <c r="B86" s="256"/>
      <c r="C86" s="256"/>
      <c r="D86" s="256"/>
      <c r="E86" s="256" t="s">
        <v>240</v>
      </c>
      <c r="F86" s="365" t="s">
        <v>243</v>
      </c>
      <c r="G86" s="326" t="s">
        <v>218</v>
      </c>
      <c r="H86" s="368"/>
      <c r="I86" s="256"/>
      <c r="J86" s="256"/>
      <c r="K86" s="251"/>
      <c r="L86" s="251"/>
      <c r="M86" s="251"/>
    </row>
    <row r="87" spans="1:13" ht="15.75">
      <c r="A87" s="256" t="s">
        <v>235</v>
      </c>
      <c r="B87" s="256"/>
      <c r="C87" s="256"/>
      <c r="D87" s="256"/>
      <c r="E87" s="256"/>
      <c r="F87" s="256"/>
      <c r="G87" s="256"/>
      <c r="H87" s="256"/>
      <c r="I87" s="251"/>
      <c r="J87" s="256"/>
      <c r="K87" s="251"/>
      <c r="L87" s="251"/>
      <c r="M87" s="251"/>
    </row>
    <row r="88" spans="1:13" ht="15.75">
      <c r="A88" s="256"/>
      <c r="B88" s="256"/>
      <c r="C88" s="256"/>
      <c r="D88" s="256"/>
      <c r="E88" s="256"/>
      <c r="F88" s="256"/>
      <c r="G88" s="256"/>
      <c r="H88" s="256"/>
      <c r="I88" s="251"/>
      <c r="J88" s="256"/>
      <c r="K88" s="251"/>
      <c r="L88" s="251"/>
      <c r="M88" s="251"/>
    </row>
    <row r="89" spans="1:13" ht="15.75">
      <c r="A89" s="422" t="s">
        <v>249</v>
      </c>
      <c r="B89" s="256"/>
      <c r="C89" s="256"/>
      <c r="D89" s="256"/>
      <c r="E89" s="256"/>
      <c r="F89" s="256"/>
      <c r="G89" s="256"/>
      <c r="H89" s="256"/>
      <c r="I89" s="251"/>
      <c r="J89" s="256"/>
      <c r="K89" s="251"/>
      <c r="L89" s="251"/>
      <c r="M89" s="251"/>
    </row>
    <row r="90" spans="1:13" ht="15.75">
      <c r="A90" s="256"/>
      <c r="B90" s="256"/>
      <c r="C90" s="256"/>
      <c r="D90" s="256"/>
      <c r="E90" s="256"/>
      <c r="F90" s="256"/>
      <c r="G90" s="256"/>
      <c r="H90" s="256"/>
      <c r="I90" s="256"/>
      <c r="J90" s="256"/>
      <c r="K90" s="251"/>
      <c r="L90" s="251"/>
      <c r="M90" s="251"/>
    </row>
    <row r="91" spans="1:13" ht="15.75">
      <c r="A91" s="256"/>
      <c r="B91" s="362" t="s">
        <v>216</v>
      </c>
      <c r="C91" s="256"/>
      <c r="D91" s="256"/>
      <c r="E91" s="256"/>
      <c r="F91" s="256"/>
      <c r="G91" s="256"/>
      <c r="H91" s="256"/>
      <c r="I91" s="256"/>
      <c r="J91" s="256"/>
      <c r="K91" s="251"/>
      <c r="L91" s="251"/>
      <c r="M91" s="251"/>
    </row>
    <row r="92" spans="1:13" ht="15.75">
      <c r="A92" s="256"/>
      <c r="B92" s="792" t="str">
        <f aca="true" t="shared" si="20" ref="B92:G92">B23</f>
        <v>Potatoes: No-Storage</v>
      </c>
      <c r="C92" s="794" t="str">
        <f t="shared" si="20"/>
        <v>Hard Red Spring Wheat</v>
      </c>
      <c r="D92" s="794" t="str">
        <f t="shared" si="20"/>
        <v>Soft White Winter Wheat</v>
      </c>
      <c r="E92" s="794" t="str">
        <f t="shared" si="20"/>
        <v>Malting Barley</v>
      </c>
      <c r="F92" s="794" t="str">
        <f t="shared" si="20"/>
        <v>Field Corn </v>
      </c>
      <c r="G92" s="803" t="str">
        <f t="shared" si="20"/>
        <v>Sugarbeets</v>
      </c>
      <c r="H92" s="256"/>
      <c r="I92" s="256"/>
      <c r="J92" s="256"/>
      <c r="K92" s="251"/>
      <c r="L92" s="251"/>
      <c r="M92" s="251"/>
    </row>
    <row r="93" spans="1:13" ht="15.75">
      <c r="A93" s="251"/>
      <c r="B93" s="796"/>
      <c r="C93" s="801"/>
      <c r="D93" s="801"/>
      <c r="E93" s="801"/>
      <c r="F93" s="801"/>
      <c r="G93" s="804"/>
      <c r="H93" s="390"/>
      <c r="I93" s="256"/>
      <c r="J93" s="256"/>
      <c r="K93" s="251"/>
      <c r="L93" s="251"/>
      <c r="M93" s="251"/>
    </row>
    <row r="94" spans="1:13" ht="15.75">
      <c r="A94" s="391" t="s">
        <v>217</v>
      </c>
      <c r="B94" s="392">
        <v>6</v>
      </c>
      <c r="C94" s="393">
        <v>6.25</v>
      </c>
      <c r="D94" s="393">
        <v>5.25</v>
      </c>
      <c r="E94" s="394">
        <v>8</v>
      </c>
      <c r="F94" s="393">
        <v>4.5</v>
      </c>
      <c r="G94" s="393">
        <v>39</v>
      </c>
      <c r="H94" s="395"/>
      <c r="I94" s="256"/>
      <c r="J94" s="256"/>
      <c r="K94" s="251"/>
      <c r="L94" s="251"/>
      <c r="M94" s="251"/>
    </row>
    <row r="95" spans="1:13" ht="15.75">
      <c r="A95" s="256" t="s">
        <v>218</v>
      </c>
      <c r="B95" s="374">
        <f>IF($B$27&lt;=0,0,B94/$B$27)</f>
        <v>1.0434782608695652</v>
      </c>
      <c r="C95" s="374">
        <f>IF(C27&lt;=0,0,C94/C27)</f>
        <v>1.0416666666666667</v>
      </c>
      <c r="D95" s="374">
        <f>IF(D27&lt;=0,0,D94/D27)</f>
        <v>1.05</v>
      </c>
      <c r="E95" s="374">
        <f>IF(E27&lt;=0,0,E94/E27)</f>
        <v>1.0666666666666667</v>
      </c>
      <c r="F95" s="374">
        <f>IF(F27&lt;=0,0,F94/F27)</f>
        <v>1.125</v>
      </c>
      <c r="G95" s="374">
        <f>IF(G27&lt;=0,0,G94/G27)</f>
        <v>1.0263157894736843</v>
      </c>
      <c r="H95" s="419"/>
      <c r="I95" s="256"/>
      <c r="J95" s="256"/>
      <c r="K95" s="251"/>
      <c r="L95" s="251"/>
      <c r="M95" s="251"/>
    </row>
    <row r="96" spans="1:13" ht="15.75">
      <c r="A96" s="256"/>
      <c r="B96" s="256"/>
      <c r="C96" s="256"/>
      <c r="D96" s="256"/>
      <c r="E96" s="256"/>
      <c r="F96" s="256"/>
      <c r="G96" s="364"/>
      <c r="H96" s="419"/>
      <c r="I96" s="256"/>
      <c r="J96" s="256"/>
      <c r="K96" s="251"/>
      <c r="L96" s="251"/>
      <c r="M96" s="251"/>
    </row>
    <row r="97" spans="1:13" ht="15.75">
      <c r="A97" s="362" t="s">
        <v>253</v>
      </c>
      <c r="H97" s="419"/>
      <c r="I97" s="256"/>
      <c r="J97" s="256"/>
      <c r="K97" s="251"/>
      <c r="L97" s="251"/>
      <c r="M97" s="251"/>
    </row>
    <row r="98" spans="1:13" ht="15.75">
      <c r="A98" s="364" t="s">
        <v>194</v>
      </c>
      <c r="B98" s="696">
        <f aca="true" t="shared" si="21" ref="B98:G98">B31*B95</f>
        <v>251.90911514277198</v>
      </c>
      <c r="C98" s="696">
        <f t="shared" si="21"/>
        <v>240.27979246945333</v>
      </c>
      <c r="D98" s="696">
        <f t="shared" si="21"/>
        <v>233.13746392449494</v>
      </c>
      <c r="E98" s="696">
        <f t="shared" si="21"/>
        <v>199.43918042604832</v>
      </c>
      <c r="F98" s="696">
        <f t="shared" si="21"/>
        <v>254.46506486706613</v>
      </c>
      <c r="G98" s="696">
        <f t="shared" si="21"/>
        <v>228.83842225361295</v>
      </c>
      <c r="H98" s="693" t="s">
        <v>13</v>
      </c>
      <c r="I98" s="256"/>
      <c r="J98" s="256"/>
      <c r="K98" s="251"/>
      <c r="L98" s="251"/>
      <c r="M98" s="251"/>
    </row>
    <row r="99" spans="1:13" ht="15.75">
      <c r="A99" s="364" t="s">
        <v>198</v>
      </c>
      <c r="B99" s="696">
        <f aca="true" t="shared" si="22" ref="B99:G99">B98*B25</f>
        <v>25190.9115142772</v>
      </c>
      <c r="C99" s="696">
        <f t="shared" si="22"/>
        <v>24027.97924694533</v>
      </c>
      <c r="D99" s="696">
        <f t="shared" si="22"/>
        <v>23313.746392449495</v>
      </c>
      <c r="E99" s="696">
        <f t="shared" si="22"/>
        <v>19943.918042604833</v>
      </c>
      <c r="F99" s="696">
        <f t="shared" si="22"/>
        <v>25446.506486706614</v>
      </c>
      <c r="G99" s="696">
        <f t="shared" si="22"/>
        <v>22883.842225361295</v>
      </c>
      <c r="H99" s="695">
        <f>SUM(B99:G99)</f>
        <v>140806.90390834477</v>
      </c>
      <c r="I99" s="256"/>
      <c r="J99" s="256"/>
      <c r="K99" s="251"/>
      <c r="L99" s="251"/>
      <c r="M99" s="251"/>
    </row>
    <row r="100" spans="1:13" ht="15.75">
      <c r="A100" s="256"/>
      <c r="B100" s="256"/>
      <c r="C100" s="256"/>
      <c r="D100" s="256"/>
      <c r="E100" s="256"/>
      <c r="F100" s="256"/>
      <c r="G100" s="364"/>
      <c r="H100" s="419"/>
      <c r="I100" s="256"/>
      <c r="J100" s="256"/>
      <c r="K100" s="251"/>
      <c r="L100" s="251"/>
      <c r="M100" s="251"/>
    </row>
    <row r="101" spans="1:13" ht="15.75">
      <c r="A101" s="256"/>
      <c r="B101" s="256"/>
      <c r="C101" s="256"/>
      <c r="D101" s="256"/>
      <c r="E101" s="256"/>
      <c r="F101" s="256"/>
      <c r="G101" s="256"/>
      <c r="H101" s="256"/>
      <c r="I101" s="256"/>
      <c r="J101" s="256"/>
      <c r="K101" s="251"/>
      <c r="L101" s="251"/>
      <c r="M101" s="251"/>
    </row>
    <row r="102" spans="1:13" ht="18.75">
      <c r="A102" s="256" t="s">
        <v>205</v>
      </c>
      <c r="B102" s="256"/>
      <c r="C102" s="375" t="s">
        <v>222</v>
      </c>
      <c r="D102" s="375"/>
      <c r="E102" s="375"/>
      <c r="F102" s="375"/>
      <c r="G102" s="375"/>
      <c r="H102" s="256"/>
      <c r="I102" s="256"/>
      <c r="J102" s="256"/>
      <c r="K102" s="251"/>
      <c r="L102" s="251"/>
      <c r="M102" s="251"/>
    </row>
    <row r="103" spans="1:13" ht="15.75">
      <c r="A103" s="256" t="s">
        <v>219</v>
      </c>
      <c r="B103" s="376">
        <v>0.05</v>
      </c>
      <c r="C103" s="375" t="s">
        <v>207</v>
      </c>
      <c r="D103" s="375"/>
      <c r="E103" s="375"/>
      <c r="F103" s="375"/>
      <c r="G103" s="375"/>
      <c r="H103" s="438"/>
      <c r="I103" s="256"/>
      <c r="J103" s="256"/>
      <c r="K103" s="251"/>
      <c r="L103" s="251"/>
      <c r="M103" s="251"/>
    </row>
    <row r="104" spans="1:13" ht="15.75">
      <c r="A104" s="256"/>
      <c r="B104" s="792" t="str">
        <f aca="true" t="shared" si="23" ref="B104:G104">B23</f>
        <v>Potatoes: No-Storage</v>
      </c>
      <c r="C104" s="794" t="str">
        <f t="shared" si="23"/>
        <v>Hard Red Spring Wheat</v>
      </c>
      <c r="D104" s="794" t="str">
        <f t="shared" si="23"/>
        <v>Soft White Winter Wheat</v>
      </c>
      <c r="E104" s="794" t="str">
        <f t="shared" si="23"/>
        <v>Malting Barley</v>
      </c>
      <c r="F104" s="794" t="str">
        <f t="shared" si="23"/>
        <v>Field Corn </v>
      </c>
      <c r="G104" s="794" t="str">
        <f t="shared" si="23"/>
        <v>Sugarbeets</v>
      </c>
      <c r="H104" s="438"/>
      <c r="I104" s="256"/>
      <c r="J104" s="256"/>
      <c r="K104" s="251"/>
      <c r="L104" s="251"/>
      <c r="M104" s="251"/>
    </row>
    <row r="105" spans="1:13" ht="15.75">
      <c r="A105" s="377" t="s">
        <v>220</v>
      </c>
      <c r="B105" s="796"/>
      <c r="C105" s="801"/>
      <c r="D105" s="801"/>
      <c r="E105" s="801"/>
      <c r="F105" s="801"/>
      <c r="G105" s="802"/>
      <c r="H105" s="438"/>
      <c r="I105" s="256"/>
      <c r="J105" s="256"/>
      <c r="K105" s="251"/>
      <c r="L105" s="251"/>
      <c r="M105" s="251"/>
    </row>
    <row r="106" spans="1:13" ht="15.75">
      <c r="A106" s="367" t="s">
        <v>209</v>
      </c>
      <c r="B106" s="396">
        <f aca="true" t="shared" si="24" ref="B106:G106">B109*(1-(3*$B$103))</f>
        <v>4.8875</v>
      </c>
      <c r="C106" s="397">
        <f t="shared" si="24"/>
        <v>5.1</v>
      </c>
      <c r="D106" s="397">
        <f t="shared" si="24"/>
        <v>4.25</v>
      </c>
      <c r="E106" s="397">
        <f t="shared" si="24"/>
        <v>6.375</v>
      </c>
      <c r="F106" s="397">
        <f t="shared" si="24"/>
        <v>3.4</v>
      </c>
      <c r="G106" s="397">
        <f t="shared" si="24"/>
        <v>32.3</v>
      </c>
      <c r="H106" s="398"/>
      <c r="I106" s="256"/>
      <c r="J106" s="256"/>
      <c r="K106" s="251"/>
      <c r="L106" s="251"/>
      <c r="M106" s="251"/>
    </row>
    <row r="107" spans="1:13" ht="15.75">
      <c r="A107" s="367" t="s">
        <v>210</v>
      </c>
      <c r="B107" s="399">
        <f aca="true" t="shared" si="25" ref="B107:G107">B109*(1-(2*$B$103))</f>
        <v>5.175</v>
      </c>
      <c r="C107" s="400">
        <f t="shared" si="25"/>
        <v>5.4</v>
      </c>
      <c r="D107" s="400">
        <f t="shared" si="25"/>
        <v>4.5</v>
      </c>
      <c r="E107" s="400">
        <f t="shared" si="25"/>
        <v>6.75</v>
      </c>
      <c r="F107" s="400">
        <f t="shared" si="25"/>
        <v>3.6</v>
      </c>
      <c r="G107" s="400">
        <f t="shared" si="25"/>
        <v>34.2</v>
      </c>
      <c r="H107" s="398"/>
      <c r="I107" s="256"/>
      <c r="J107" s="256"/>
      <c r="K107" s="251"/>
      <c r="L107" s="251"/>
      <c r="M107" s="251"/>
    </row>
    <row r="108" spans="1:13" ht="15.75">
      <c r="A108" s="367" t="s">
        <v>211</v>
      </c>
      <c r="B108" s="399">
        <f aca="true" t="shared" si="26" ref="B108:G108">B109*(1-$B$103)</f>
        <v>5.4624999999999995</v>
      </c>
      <c r="C108" s="400">
        <f t="shared" si="26"/>
        <v>5.699999999999999</v>
      </c>
      <c r="D108" s="400">
        <f t="shared" si="26"/>
        <v>4.75</v>
      </c>
      <c r="E108" s="400">
        <f t="shared" si="26"/>
        <v>7.125</v>
      </c>
      <c r="F108" s="400">
        <f t="shared" si="26"/>
        <v>3.8</v>
      </c>
      <c r="G108" s="400">
        <f t="shared" si="26"/>
        <v>36.1</v>
      </c>
      <c r="H108" s="398"/>
      <c r="I108" s="256"/>
      <c r="J108" s="256"/>
      <c r="K108" s="251"/>
      <c r="L108" s="251"/>
      <c r="M108" s="251"/>
    </row>
    <row r="109" spans="1:13" ht="15.75">
      <c r="A109" s="382" t="s">
        <v>188</v>
      </c>
      <c r="B109" s="401">
        <f aca="true" t="shared" si="27" ref="B109:G109">B27</f>
        <v>5.75</v>
      </c>
      <c r="C109" s="402">
        <f t="shared" si="27"/>
        <v>6</v>
      </c>
      <c r="D109" s="402">
        <f t="shared" si="27"/>
        <v>5</v>
      </c>
      <c r="E109" s="403">
        <f t="shared" si="27"/>
        <v>7.5</v>
      </c>
      <c r="F109" s="402">
        <f t="shared" si="27"/>
        <v>4</v>
      </c>
      <c r="G109" s="402">
        <f t="shared" si="27"/>
        <v>38</v>
      </c>
      <c r="H109" s="440"/>
      <c r="I109" s="256"/>
      <c r="J109" s="256"/>
      <c r="K109" s="251"/>
      <c r="L109" s="251"/>
      <c r="M109" s="251"/>
    </row>
    <row r="110" spans="1:13" ht="15.75">
      <c r="A110" s="367" t="s">
        <v>212</v>
      </c>
      <c r="B110" s="399">
        <f aca="true" t="shared" si="28" ref="B110:G110">B109*(1+$B$103)</f>
        <v>6.0375000000000005</v>
      </c>
      <c r="C110" s="400">
        <f t="shared" si="28"/>
        <v>6.300000000000001</v>
      </c>
      <c r="D110" s="400">
        <f t="shared" si="28"/>
        <v>5.25</v>
      </c>
      <c r="E110" s="400">
        <f t="shared" si="28"/>
        <v>7.875</v>
      </c>
      <c r="F110" s="400">
        <f t="shared" si="28"/>
        <v>4.2</v>
      </c>
      <c r="G110" s="400">
        <f t="shared" si="28"/>
        <v>39.9</v>
      </c>
      <c r="H110" s="398"/>
      <c r="I110" s="256"/>
      <c r="J110" s="256"/>
      <c r="K110" s="251"/>
      <c r="L110" s="251"/>
      <c r="M110" s="251"/>
    </row>
    <row r="111" spans="1:13" ht="15.75">
      <c r="A111" s="367" t="s">
        <v>213</v>
      </c>
      <c r="B111" s="399">
        <f aca="true" t="shared" si="29" ref="B111:G111">B109*(1+(2*$B$103))</f>
        <v>6.325</v>
      </c>
      <c r="C111" s="400">
        <f t="shared" si="29"/>
        <v>6.6000000000000005</v>
      </c>
      <c r="D111" s="400">
        <f t="shared" si="29"/>
        <v>5.5</v>
      </c>
      <c r="E111" s="400">
        <f t="shared" si="29"/>
        <v>8.25</v>
      </c>
      <c r="F111" s="400">
        <f t="shared" si="29"/>
        <v>4.4</v>
      </c>
      <c r="G111" s="400">
        <f t="shared" si="29"/>
        <v>41.800000000000004</v>
      </c>
      <c r="H111" s="398"/>
      <c r="I111" s="256"/>
      <c r="J111" s="256"/>
      <c r="K111" s="251"/>
      <c r="L111" s="251"/>
      <c r="M111" s="251"/>
    </row>
    <row r="112" spans="1:13" ht="15.75">
      <c r="A112" s="404" t="s">
        <v>214</v>
      </c>
      <c r="B112" s="405">
        <f aca="true" t="shared" si="30" ref="B112:G112">B109*(1+(3*$B$103))</f>
        <v>6.6125</v>
      </c>
      <c r="C112" s="406">
        <f t="shared" si="30"/>
        <v>6.8999999999999995</v>
      </c>
      <c r="D112" s="406">
        <f t="shared" si="30"/>
        <v>5.75</v>
      </c>
      <c r="E112" s="406">
        <f t="shared" si="30"/>
        <v>8.625</v>
      </c>
      <c r="F112" s="406">
        <f t="shared" si="30"/>
        <v>4.6</v>
      </c>
      <c r="G112" s="406">
        <f t="shared" si="30"/>
        <v>43.699999999999996</v>
      </c>
      <c r="H112" s="398"/>
      <c r="I112" s="256"/>
      <c r="J112" s="256"/>
      <c r="K112" s="251"/>
      <c r="L112" s="251"/>
      <c r="M112" s="251"/>
    </row>
    <row r="113" spans="1:13" ht="15.75">
      <c r="A113" s="256"/>
      <c r="B113" s="256"/>
      <c r="C113" s="256"/>
      <c r="D113" s="256"/>
      <c r="E113" s="256"/>
      <c r="F113" s="256"/>
      <c r="G113" s="256"/>
      <c r="H113" s="420"/>
      <c r="I113" s="256"/>
      <c r="J113" s="256"/>
      <c r="K113" s="251"/>
      <c r="L113" s="251"/>
      <c r="M113" s="251"/>
    </row>
    <row r="114" spans="1:13" ht="15.75">
      <c r="A114" s="256"/>
      <c r="B114" s="256"/>
      <c r="C114" s="256"/>
      <c r="D114" s="256"/>
      <c r="E114" s="256"/>
      <c r="F114" s="256"/>
      <c r="G114" s="256"/>
      <c r="H114" s="256"/>
      <c r="I114" s="256"/>
      <c r="J114" s="256"/>
      <c r="K114" s="251"/>
      <c r="L114" s="251"/>
      <c r="M114" s="251"/>
    </row>
    <row r="115" spans="1:13" ht="15.75">
      <c r="A115" s="256"/>
      <c r="B115" s="256"/>
      <c r="C115" s="256"/>
      <c r="D115" s="256"/>
      <c r="E115" s="256"/>
      <c r="F115" s="256"/>
      <c r="G115" s="256"/>
      <c r="H115" s="256"/>
      <c r="I115" s="256"/>
      <c r="J115" s="256"/>
      <c r="K115" s="251"/>
      <c r="L115" s="251"/>
      <c r="M115" s="251"/>
    </row>
    <row r="116" spans="1:13" ht="15.75">
      <c r="A116" s="256"/>
      <c r="B116" s="420"/>
      <c r="C116" s="375" t="s">
        <v>228</v>
      </c>
      <c r="D116" s="375"/>
      <c r="E116" s="375"/>
      <c r="F116" s="375"/>
      <c r="G116" s="375"/>
      <c r="H116" s="256"/>
      <c r="I116" s="256"/>
      <c r="J116" s="256"/>
      <c r="K116" s="251"/>
      <c r="L116" s="251"/>
      <c r="M116" s="251"/>
    </row>
    <row r="117" spans="1:13" ht="16.5" thickBot="1">
      <c r="A117" s="256"/>
      <c r="B117" s="442"/>
      <c r="C117" s="375" t="s">
        <v>207</v>
      </c>
      <c r="D117" s="375"/>
      <c r="E117" s="375"/>
      <c r="F117" s="375"/>
      <c r="G117" s="375"/>
      <c r="H117" s="365"/>
      <c r="I117" s="256"/>
      <c r="J117" s="256"/>
      <c r="K117" s="251"/>
      <c r="L117" s="251"/>
      <c r="M117" s="251"/>
    </row>
    <row r="118" spans="1:13" ht="15.75">
      <c r="A118" s="256"/>
      <c r="B118" s="793" t="str">
        <f aca="true" t="shared" si="31" ref="B118:G118">B23</f>
        <v>Potatoes: No-Storage</v>
      </c>
      <c r="C118" s="792" t="str">
        <f t="shared" si="31"/>
        <v>Hard Red Spring Wheat</v>
      </c>
      <c r="D118" s="792" t="str">
        <f t="shared" si="31"/>
        <v>Soft White Winter Wheat</v>
      </c>
      <c r="E118" s="792" t="str">
        <f t="shared" si="31"/>
        <v>Malting Barley</v>
      </c>
      <c r="F118" s="792" t="str">
        <f t="shared" si="31"/>
        <v>Field Corn </v>
      </c>
      <c r="G118" s="792" t="str">
        <f t="shared" si="31"/>
        <v>Sugarbeets</v>
      </c>
      <c r="H118" s="797" t="s">
        <v>155</v>
      </c>
      <c r="I118" s="256"/>
      <c r="J118" s="256"/>
      <c r="K118" s="251"/>
      <c r="L118" s="251"/>
      <c r="M118" s="251"/>
    </row>
    <row r="119" spans="1:13" ht="15.75">
      <c r="A119" s="443" t="s">
        <v>233</v>
      </c>
      <c r="B119" s="796"/>
      <c r="C119" s="796"/>
      <c r="D119" s="796"/>
      <c r="E119" s="796"/>
      <c r="F119" s="796"/>
      <c r="G119" s="796"/>
      <c r="H119" s="798"/>
      <c r="I119" s="256"/>
      <c r="J119" s="256"/>
      <c r="K119" s="251"/>
      <c r="L119" s="251"/>
      <c r="M119" s="251"/>
    </row>
    <row r="120" spans="1:13" ht="15.75">
      <c r="A120" s="367" t="s">
        <v>209</v>
      </c>
      <c r="B120" s="427">
        <f aca="true" t="shared" si="32" ref="B120:H120">B123*(1-(3*$B$103))</f>
        <v>205.20096671004967</v>
      </c>
      <c r="C120" s="433">
        <f t="shared" si="32"/>
        <v>196.0683106550739</v>
      </c>
      <c r="D120" s="433">
        <f t="shared" si="32"/>
        <v>188.73032793887685</v>
      </c>
      <c r="E120" s="433">
        <f t="shared" si="32"/>
        <v>158.92809690200727</v>
      </c>
      <c r="F120" s="433">
        <f t="shared" si="32"/>
        <v>192.26249345511664</v>
      </c>
      <c r="G120" s="434">
        <f t="shared" si="32"/>
        <v>189.52515484081275</v>
      </c>
      <c r="H120" s="434">
        <f t="shared" si="32"/>
        <v>188.7007739652323</v>
      </c>
      <c r="I120" s="256"/>
      <c r="J120" s="256"/>
      <c r="K120" s="251"/>
      <c r="L120" s="251"/>
      <c r="M120" s="251"/>
    </row>
    <row r="121" spans="1:13" ht="15.75">
      <c r="A121" s="367" t="s">
        <v>210</v>
      </c>
      <c r="B121" s="380">
        <f aca="true" t="shared" si="33" ref="B121:H121">B123*(1-(2*$B$103))</f>
        <v>217.27161181064085</v>
      </c>
      <c r="C121" s="430">
        <f t="shared" si="33"/>
        <v>207.60174069360767</v>
      </c>
      <c r="D121" s="430">
        <f t="shared" si="33"/>
        <v>199.83211193528138</v>
      </c>
      <c r="E121" s="430">
        <f t="shared" si="33"/>
        <v>168.2768084844783</v>
      </c>
      <c r="F121" s="430">
        <f t="shared" si="33"/>
        <v>203.5720518936529</v>
      </c>
      <c r="G121" s="345">
        <f t="shared" si="33"/>
        <v>200.67369336086057</v>
      </c>
      <c r="H121" s="345">
        <f t="shared" si="33"/>
        <v>199.8008194925989</v>
      </c>
      <c r="I121" s="256"/>
      <c r="J121" s="256"/>
      <c r="K121" s="251"/>
      <c r="L121" s="251"/>
      <c r="M121" s="251"/>
    </row>
    <row r="122" spans="1:13" ht="15.75">
      <c r="A122" s="367" t="s">
        <v>211</v>
      </c>
      <c r="B122" s="380">
        <f aca="true" t="shared" si="34" ref="B122:H122">B123*(1-$B$103)</f>
        <v>229.34225691123197</v>
      </c>
      <c r="C122" s="430">
        <f t="shared" si="34"/>
        <v>219.1351707321414</v>
      </c>
      <c r="D122" s="430">
        <f t="shared" si="34"/>
        <v>210.9338959316859</v>
      </c>
      <c r="E122" s="430">
        <f t="shared" si="34"/>
        <v>177.6255200669493</v>
      </c>
      <c r="F122" s="430">
        <f t="shared" si="34"/>
        <v>214.88161033218918</v>
      </c>
      <c r="G122" s="345">
        <f t="shared" si="34"/>
        <v>211.82223188090836</v>
      </c>
      <c r="H122" s="345">
        <f t="shared" si="34"/>
        <v>210.9008650199655</v>
      </c>
      <c r="I122" s="256"/>
      <c r="J122" s="256"/>
      <c r="K122" s="251"/>
      <c r="L122" s="251"/>
      <c r="M122" s="251"/>
    </row>
    <row r="123" spans="1:13" ht="15.75">
      <c r="A123" s="382" t="s">
        <v>188</v>
      </c>
      <c r="B123" s="429">
        <f>B31</f>
        <v>241.41290201182315</v>
      </c>
      <c r="C123" s="429">
        <f aca="true" t="shared" si="35" ref="C123:H123">C31</f>
        <v>230.66860077067517</v>
      </c>
      <c r="D123" s="429">
        <f t="shared" si="35"/>
        <v>222.03567992809042</v>
      </c>
      <c r="E123" s="429">
        <f t="shared" si="35"/>
        <v>186.97423164942032</v>
      </c>
      <c r="F123" s="429">
        <f t="shared" si="35"/>
        <v>226.19116877072545</v>
      </c>
      <c r="G123" s="429">
        <f t="shared" si="35"/>
        <v>222.97077040095618</v>
      </c>
      <c r="H123" s="441">
        <f t="shared" si="35"/>
        <v>222.0009105473321</v>
      </c>
      <c r="I123" s="256"/>
      <c r="J123" s="256"/>
      <c r="K123" s="251"/>
      <c r="L123" s="251"/>
      <c r="M123" s="251"/>
    </row>
    <row r="124" spans="1:13" ht="15.75">
      <c r="A124" s="367" t="s">
        <v>212</v>
      </c>
      <c r="B124" s="380">
        <f aca="true" t="shared" si="36" ref="B124:H124">B123*(1+$B$103)</f>
        <v>253.48354711241433</v>
      </c>
      <c r="C124" s="430">
        <f t="shared" si="36"/>
        <v>242.20203080920894</v>
      </c>
      <c r="D124" s="430">
        <f t="shared" si="36"/>
        <v>233.13746392449494</v>
      </c>
      <c r="E124" s="430">
        <f t="shared" si="36"/>
        <v>196.32294323189134</v>
      </c>
      <c r="F124" s="430">
        <f t="shared" si="36"/>
        <v>237.50072720926173</v>
      </c>
      <c r="G124" s="345">
        <f t="shared" si="36"/>
        <v>234.119308921004</v>
      </c>
      <c r="H124" s="345">
        <f t="shared" si="36"/>
        <v>233.1009560746987</v>
      </c>
      <c r="I124" s="256"/>
      <c r="J124" s="256"/>
      <c r="K124" s="251"/>
      <c r="L124" s="251"/>
      <c r="M124" s="251"/>
    </row>
    <row r="125" spans="1:13" ht="15.75">
      <c r="A125" s="367" t="s">
        <v>213</v>
      </c>
      <c r="B125" s="380">
        <f aca="true" t="shared" si="37" ref="B125:H125">B123*(1+(2*$B$103))</f>
        <v>265.5541922130055</v>
      </c>
      <c r="C125" s="430">
        <f t="shared" si="37"/>
        <v>253.7354608477427</v>
      </c>
      <c r="D125" s="430">
        <f t="shared" si="37"/>
        <v>244.2392479208995</v>
      </c>
      <c r="E125" s="430">
        <f t="shared" si="37"/>
        <v>205.67165481436237</v>
      </c>
      <c r="F125" s="430">
        <f t="shared" si="37"/>
        <v>248.81028564779803</v>
      </c>
      <c r="G125" s="345">
        <f t="shared" si="37"/>
        <v>245.26784744105183</v>
      </c>
      <c r="H125" s="345">
        <f t="shared" si="37"/>
        <v>244.20100160206533</v>
      </c>
      <c r="I125" s="256"/>
      <c r="J125" s="256"/>
      <c r="K125" s="251"/>
      <c r="L125" s="251"/>
      <c r="M125" s="251"/>
    </row>
    <row r="126" spans="1:13" ht="15.75">
      <c r="A126" s="404" t="s">
        <v>214</v>
      </c>
      <c r="B126" s="389">
        <f aca="true" t="shared" si="38" ref="B126:H126">B123*(1+(3*$B$103))</f>
        <v>277.6248373135966</v>
      </c>
      <c r="C126" s="431">
        <f t="shared" si="38"/>
        <v>265.26889088627644</v>
      </c>
      <c r="D126" s="431">
        <f t="shared" si="38"/>
        <v>255.34103191730395</v>
      </c>
      <c r="E126" s="431">
        <f t="shared" si="38"/>
        <v>215.02036639683334</v>
      </c>
      <c r="F126" s="431">
        <f t="shared" si="38"/>
        <v>260.11984408633424</v>
      </c>
      <c r="G126" s="432">
        <f t="shared" si="38"/>
        <v>256.4163859610996</v>
      </c>
      <c r="H126" s="432">
        <f t="shared" si="38"/>
        <v>255.30104712943188</v>
      </c>
      <c r="I126" s="256"/>
      <c r="J126" s="256"/>
      <c r="K126" s="251"/>
      <c r="L126" s="251"/>
      <c r="M126" s="251"/>
    </row>
    <row r="127" spans="1:13" ht="15.75">
      <c r="A127" s="256"/>
      <c r="B127" s="256"/>
      <c r="C127" s="256"/>
      <c r="D127" s="256"/>
      <c r="E127" s="256"/>
      <c r="F127" s="256"/>
      <c r="G127" s="256"/>
      <c r="H127" s="256"/>
      <c r="I127" s="256"/>
      <c r="J127" s="294"/>
      <c r="K127" s="251"/>
      <c r="L127" s="251"/>
      <c r="M127" s="251"/>
    </row>
    <row r="128" spans="1:13" ht="15.75">
      <c r="A128" s="256"/>
      <c r="B128" s="256"/>
      <c r="C128" s="256"/>
      <c r="D128" s="256"/>
      <c r="E128" s="256"/>
      <c r="F128" s="256"/>
      <c r="G128" s="256"/>
      <c r="H128" s="256"/>
      <c r="I128" s="256"/>
      <c r="J128" s="256"/>
      <c r="K128" s="251"/>
      <c r="L128" s="251"/>
      <c r="M128" s="251"/>
    </row>
    <row r="129" spans="1:13" ht="15.75">
      <c r="A129" s="256"/>
      <c r="B129" s="256"/>
      <c r="C129" s="256"/>
      <c r="D129" s="256"/>
      <c r="E129" s="256"/>
      <c r="F129" s="256"/>
      <c r="G129" s="256"/>
      <c r="H129" s="256"/>
      <c r="I129" s="256"/>
      <c r="J129" s="256"/>
      <c r="K129" s="251"/>
      <c r="L129" s="251"/>
      <c r="M129" s="251"/>
    </row>
    <row r="130" spans="1:13" ht="20.25">
      <c r="A130" s="805" t="s">
        <v>223</v>
      </c>
      <c r="B130" s="805"/>
      <c r="C130" s="805"/>
      <c r="D130" s="805"/>
      <c r="E130" s="805"/>
      <c r="F130" s="805"/>
      <c r="G130" s="805"/>
      <c r="H130" s="805"/>
      <c r="I130" s="269"/>
      <c r="J130" s="256"/>
      <c r="K130" s="251"/>
      <c r="L130" s="251"/>
      <c r="M130" s="251"/>
    </row>
    <row r="131" spans="1:13" ht="15.75">
      <c r="A131" s="256"/>
      <c r="B131" s="362"/>
      <c r="C131" s="256"/>
      <c r="D131" s="256"/>
      <c r="E131" s="256"/>
      <c r="F131" s="256"/>
      <c r="G131" s="256"/>
      <c r="H131" s="256"/>
      <c r="I131" s="256"/>
      <c r="J131" s="256"/>
      <c r="K131" s="251"/>
      <c r="L131" s="251"/>
      <c r="M131" s="251"/>
    </row>
    <row r="132" spans="1:13" ht="15.75">
      <c r="A132" s="256" t="s">
        <v>252</v>
      </c>
      <c r="B132" s="362"/>
      <c r="C132" s="256"/>
      <c r="D132" s="256"/>
      <c r="E132" s="256"/>
      <c r="F132" s="256"/>
      <c r="G132" s="256"/>
      <c r="H132" s="256"/>
      <c r="I132" s="256"/>
      <c r="J132" s="256"/>
      <c r="K132" s="251"/>
      <c r="L132" s="251"/>
      <c r="M132" s="251"/>
    </row>
    <row r="133" spans="1:13" ht="15.75">
      <c r="A133" s="256" t="s">
        <v>235</v>
      </c>
      <c r="B133" s="362"/>
      <c r="C133" s="256"/>
      <c r="D133" s="256"/>
      <c r="E133" s="256"/>
      <c r="F133" s="256"/>
      <c r="G133" s="256"/>
      <c r="H133" s="256"/>
      <c r="I133" s="256"/>
      <c r="J133" s="256"/>
      <c r="K133" s="251"/>
      <c r="L133" s="251"/>
      <c r="M133" s="251"/>
    </row>
    <row r="134" spans="1:13" ht="15.75">
      <c r="A134" s="256"/>
      <c r="B134" s="362"/>
      <c r="C134" s="256"/>
      <c r="D134" s="256"/>
      <c r="E134" s="256"/>
      <c r="F134" s="256"/>
      <c r="G134" s="256"/>
      <c r="H134" s="256"/>
      <c r="I134" s="256"/>
      <c r="J134" s="256"/>
      <c r="K134" s="251"/>
      <c r="L134" s="251"/>
      <c r="M134" s="251"/>
    </row>
    <row r="135" spans="1:12" ht="15.75">
      <c r="A135" s="251"/>
      <c r="B135" s="409"/>
      <c r="C135" s="251"/>
      <c r="D135" s="251"/>
      <c r="E135" s="409"/>
      <c r="F135" s="251"/>
      <c r="G135" s="256"/>
      <c r="H135" s="256"/>
      <c r="I135" s="256"/>
      <c r="J135" s="251"/>
      <c r="K135" s="251"/>
      <c r="L135" s="251"/>
    </row>
    <row r="136" spans="1:12" ht="15.75">
      <c r="A136" s="251"/>
      <c r="B136" s="462" t="s">
        <v>240</v>
      </c>
      <c r="C136" s="462" t="s">
        <v>243</v>
      </c>
      <c r="D136" s="461" t="s">
        <v>204</v>
      </c>
      <c r="E136" s="462" t="s">
        <v>243</v>
      </c>
      <c r="F136" s="461" t="s">
        <v>218</v>
      </c>
      <c r="G136" s="256"/>
      <c r="H136" s="256"/>
      <c r="I136" s="256"/>
      <c r="J136" s="251"/>
      <c r="K136" s="251"/>
      <c r="L136" s="251"/>
    </row>
    <row r="137" spans="1:13" ht="15.75">
      <c r="A137" s="251"/>
      <c r="B137" s="251"/>
      <c r="C137" s="251"/>
      <c r="D137" s="251"/>
      <c r="E137" s="256"/>
      <c r="F137" s="251"/>
      <c r="G137" s="251"/>
      <c r="H137" s="256"/>
      <c r="I137" s="256"/>
      <c r="J137" s="256"/>
      <c r="K137" s="251"/>
      <c r="L137" s="251"/>
      <c r="M137" s="251"/>
    </row>
    <row r="138" spans="1:13" ht="15.75">
      <c r="A138" s="256"/>
      <c r="B138" s="362"/>
      <c r="C138" s="256"/>
      <c r="D138" s="256"/>
      <c r="E138" s="437"/>
      <c r="F138" s="256"/>
      <c r="G138" s="256"/>
      <c r="H138" s="256"/>
      <c r="I138" s="256"/>
      <c r="J138" s="256"/>
      <c r="K138" s="251"/>
      <c r="L138" s="251"/>
      <c r="M138" s="251"/>
    </row>
    <row r="139" spans="1:13" ht="15.75">
      <c r="A139" s="256"/>
      <c r="B139" s="792" t="str">
        <f aca="true" t="shared" si="39" ref="B139:G139">B23</f>
        <v>Potatoes: No-Storage</v>
      </c>
      <c r="C139" s="794" t="str">
        <f t="shared" si="39"/>
        <v>Hard Red Spring Wheat</v>
      </c>
      <c r="D139" s="794" t="str">
        <f t="shared" si="39"/>
        <v>Soft White Winter Wheat</v>
      </c>
      <c r="E139" s="795" t="str">
        <f t="shared" si="39"/>
        <v>Malting Barley</v>
      </c>
      <c r="F139" s="794" t="str">
        <f t="shared" si="39"/>
        <v>Field Corn </v>
      </c>
      <c r="G139" s="803" t="str">
        <f t="shared" si="39"/>
        <v>Sugarbeets</v>
      </c>
      <c r="H139" s="256"/>
      <c r="I139" s="256"/>
      <c r="J139" s="256"/>
      <c r="K139" s="251"/>
      <c r="L139" s="251"/>
      <c r="M139" s="251"/>
    </row>
    <row r="140" spans="1:13" ht="15.75">
      <c r="A140" s="256"/>
      <c r="B140" s="796"/>
      <c r="C140" s="801"/>
      <c r="D140" s="801"/>
      <c r="E140" s="801"/>
      <c r="F140" s="801"/>
      <c r="G140" s="804"/>
      <c r="H140" s="256"/>
      <c r="I140" s="256"/>
      <c r="J140" s="256"/>
      <c r="K140" s="251"/>
      <c r="L140" s="251"/>
      <c r="M140" s="251"/>
    </row>
    <row r="141" spans="1:13" ht="15.75">
      <c r="A141" s="407" t="s">
        <v>201</v>
      </c>
      <c r="B141" s="459">
        <f aca="true" t="shared" si="40" ref="B141:G141">B50</f>
        <v>350</v>
      </c>
      <c r="C141" s="459">
        <f t="shared" si="40"/>
        <v>105</v>
      </c>
      <c r="D141" s="459">
        <f t="shared" si="40"/>
        <v>118</v>
      </c>
      <c r="E141" s="459">
        <f>E50</f>
        <v>58</v>
      </c>
      <c r="F141" s="459">
        <f t="shared" si="40"/>
        <v>185</v>
      </c>
      <c r="G141" s="459">
        <f t="shared" si="40"/>
        <v>30</v>
      </c>
      <c r="H141" s="256"/>
      <c r="I141" s="256"/>
      <c r="J141" s="256"/>
      <c r="K141" s="251"/>
      <c r="L141" s="251"/>
      <c r="M141" s="251"/>
    </row>
    <row r="142" spans="1:13" ht="15.75">
      <c r="A142" s="333" t="s">
        <v>217</v>
      </c>
      <c r="B142" s="460">
        <f aca="true" t="shared" si="41" ref="B142:G142">B94</f>
        <v>6</v>
      </c>
      <c r="C142" s="460">
        <f t="shared" si="41"/>
        <v>6.25</v>
      </c>
      <c r="D142" s="460">
        <f t="shared" si="41"/>
        <v>5.25</v>
      </c>
      <c r="E142" s="460">
        <f>E94</f>
        <v>8</v>
      </c>
      <c r="F142" s="460">
        <f t="shared" si="41"/>
        <v>4.5</v>
      </c>
      <c r="G142" s="460">
        <f t="shared" si="41"/>
        <v>39</v>
      </c>
      <c r="H142" s="256"/>
      <c r="I142" s="256"/>
      <c r="J142" s="256"/>
      <c r="K142" s="251"/>
      <c r="L142" s="251"/>
      <c r="M142" s="251"/>
    </row>
    <row r="143" spans="1:13" ht="15.75">
      <c r="A143" s="365" t="s">
        <v>204</v>
      </c>
      <c r="B143" s="374">
        <f>IF($B$26&lt;=0,0,B141/$B$26)</f>
        <v>1</v>
      </c>
      <c r="C143" s="374">
        <f>IF($C$26&lt;=0,0,C141/$C$26)</f>
        <v>1.05</v>
      </c>
      <c r="D143" s="374">
        <f>IF($D$26&lt;=0,0,D141/$D$26)</f>
        <v>1.0260869565217392</v>
      </c>
      <c r="E143" s="374">
        <f>IF($D$26&lt;=0,0,E141/$E$26)</f>
        <v>1</v>
      </c>
      <c r="F143" s="374">
        <f>IF($F$26&lt;=0,0,F141/$F$26)</f>
        <v>1.0277777777777777</v>
      </c>
      <c r="G143" s="374">
        <f>IF($G$26&lt;=0,0,G141/$G$26)</f>
        <v>0.9375</v>
      </c>
      <c r="H143" s="256"/>
      <c r="I143" s="256"/>
      <c r="J143" s="256"/>
      <c r="K143" s="251"/>
      <c r="L143" s="251"/>
      <c r="M143" s="251"/>
    </row>
    <row r="144" spans="1:13" ht="15.75">
      <c r="A144" s="365" t="str">
        <f>A95</f>
        <v>Price Ratio</v>
      </c>
      <c r="B144" s="374">
        <f>IF($B$27&lt;=0,0,B142/$B$27)</f>
        <v>1.0434782608695652</v>
      </c>
      <c r="C144" s="374">
        <f>IF($C$27&lt;=0,0,C142/$C$27)</f>
        <v>1.0416666666666667</v>
      </c>
      <c r="D144" s="374">
        <f>IF($D$27&lt;=0,0,D142/$D$27)</f>
        <v>1.05</v>
      </c>
      <c r="E144" s="374">
        <f>IF($D$27&lt;=0,0,E142/$E$27)</f>
        <v>1.0666666666666667</v>
      </c>
      <c r="F144" s="374">
        <f>IF($F$27&lt;=0,0,F142/$F$27)</f>
        <v>1.125</v>
      </c>
      <c r="G144" s="374">
        <f>IF($G$27&lt;=0,0,G142/$G$27)</f>
        <v>1.0263157894736843</v>
      </c>
      <c r="H144" s="417"/>
      <c r="I144" s="256"/>
      <c r="J144" s="256"/>
      <c r="K144" s="251"/>
      <c r="L144" s="251"/>
      <c r="M144" s="251"/>
    </row>
    <row r="145" spans="1:13" ht="15.75">
      <c r="A145" s="256"/>
      <c r="B145" s="408"/>
      <c r="C145" s="408"/>
      <c r="D145" s="408"/>
      <c r="E145" s="256"/>
      <c r="F145" s="408"/>
      <c r="G145" s="364"/>
      <c r="H145" s="417"/>
      <c r="I145" s="256"/>
      <c r="J145" s="251"/>
      <c r="K145" s="251"/>
      <c r="L145" s="251"/>
      <c r="M145" s="251"/>
    </row>
    <row r="146" spans="1:13" ht="15.75">
      <c r="A146" s="256"/>
      <c r="B146" s="256"/>
      <c r="C146" s="256"/>
      <c r="D146" s="256"/>
      <c r="F146" s="256"/>
      <c r="G146" s="256"/>
      <c r="H146" s="256"/>
      <c r="I146" s="256"/>
      <c r="J146" s="251"/>
      <c r="K146" s="251"/>
      <c r="L146" s="251"/>
      <c r="M146" s="251"/>
    </row>
    <row r="147" spans="1:13" ht="15.75">
      <c r="A147" s="362" t="s">
        <v>254</v>
      </c>
      <c r="H147" s="256"/>
      <c r="I147" s="256"/>
      <c r="J147" s="251"/>
      <c r="K147" s="251"/>
      <c r="L147" s="251"/>
      <c r="M147" s="251"/>
    </row>
    <row r="148" spans="8:13" ht="15">
      <c r="H148" s="251"/>
      <c r="I148" s="251"/>
      <c r="J148" s="251"/>
      <c r="K148" s="251"/>
      <c r="L148" s="251"/>
      <c r="M148" s="251"/>
    </row>
    <row r="149" spans="1:13" ht="15.75">
      <c r="A149" s="364" t="s">
        <v>194</v>
      </c>
      <c r="B149" s="697">
        <f aca="true" t="shared" si="42" ref="B149:G149">B31*(B143*B144)</f>
        <v>251.90911514277198</v>
      </c>
      <c r="C149" s="697">
        <f t="shared" si="42"/>
        <v>252.29378209292602</v>
      </c>
      <c r="D149" s="697">
        <f t="shared" si="42"/>
        <v>239.2193108094818</v>
      </c>
      <c r="E149" s="697">
        <f t="shared" si="42"/>
        <v>199.43918042604832</v>
      </c>
      <c r="F149" s="697">
        <f t="shared" si="42"/>
        <v>261.5335388911513</v>
      </c>
      <c r="G149" s="697">
        <f t="shared" si="42"/>
        <v>214.53602086276211</v>
      </c>
      <c r="H149" s="698" t="s">
        <v>13</v>
      </c>
      <c r="I149" s="251"/>
      <c r="J149" s="251"/>
      <c r="K149" s="251"/>
      <c r="L149" s="251"/>
      <c r="M149" s="251"/>
    </row>
    <row r="150" spans="1:13" ht="15.75">
      <c r="A150" s="364" t="s">
        <v>198</v>
      </c>
      <c r="B150" s="697">
        <f aca="true" t="shared" si="43" ref="B150:G150">B149*B25</f>
        <v>25190.9115142772</v>
      </c>
      <c r="C150" s="697">
        <f t="shared" si="43"/>
        <v>25229.3782092926</v>
      </c>
      <c r="D150" s="697">
        <f t="shared" si="43"/>
        <v>23921.93108094818</v>
      </c>
      <c r="E150" s="697">
        <f t="shared" si="43"/>
        <v>19943.918042604833</v>
      </c>
      <c r="F150" s="697">
        <f t="shared" si="43"/>
        <v>26153.35388911513</v>
      </c>
      <c r="G150" s="697">
        <f t="shared" si="43"/>
        <v>21453.602086276213</v>
      </c>
      <c r="H150" s="699">
        <f>SUM(B150:G150)</f>
        <v>141893.09482251416</v>
      </c>
      <c r="I150" s="251"/>
      <c r="J150" s="251"/>
      <c r="K150" s="251"/>
      <c r="L150" s="251"/>
      <c r="M150" s="251"/>
    </row>
    <row r="151" spans="1:13" ht="15">
      <c r="A151" s="251"/>
      <c r="B151" s="251"/>
      <c r="C151" s="251"/>
      <c r="D151" s="251"/>
      <c r="E151" s="251"/>
      <c r="F151" s="251"/>
      <c r="G151" s="251"/>
      <c r="H151" s="251"/>
      <c r="I151" s="251"/>
      <c r="J151" s="251"/>
      <c r="K151" s="251"/>
      <c r="L151" s="251"/>
      <c r="M151" s="251"/>
    </row>
    <row r="152" spans="1:13" ht="15">
      <c r="A152" s="251"/>
      <c r="B152" s="251"/>
      <c r="C152" s="251"/>
      <c r="D152" s="251"/>
      <c r="E152" s="251"/>
      <c r="F152" s="251"/>
      <c r="G152" s="251"/>
      <c r="H152" s="251"/>
      <c r="I152" s="251"/>
      <c r="K152" s="251"/>
      <c r="L152" s="251"/>
      <c r="M152" s="251"/>
    </row>
    <row r="153" spans="1:13" ht="15">
      <c r="A153" s="251"/>
      <c r="B153" s="251"/>
      <c r="C153" s="251"/>
      <c r="D153" s="251"/>
      <c r="E153" s="251"/>
      <c r="F153" s="251"/>
      <c r="G153" s="251"/>
      <c r="H153" s="251"/>
      <c r="I153" s="251"/>
      <c r="K153" s="251"/>
      <c r="L153" s="251"/>
      <c r="M153" s="251"/>
    </row>
    <row r="154" spans="1:13" ht="15">
      <c r="A154" s="251"/>
      <c r="B154" s="251"/>
      <c r="C154" s="251"/>
      <c r="D154" s="251"/>
      <c r="F154" s="251"/>
      <c r="G154" s="251"/>
      <c r="H154" s="251"/>
      <c r="I154" s="251"/>
      <c r="K154" s="251"/>
      <c r="L154" s="251"/>
      <c r="M154" s="251"/>
    </row>
  </sheetData>
  <sheetProtection sheet="1"/>
  <mergeCells count="54">
    <mergeCell ref="A4:I4"/>
    <mergeCell ref="A130:H130"/>
    <mergeCell ref="A83:H83"/>
    <mergeCell ref="A36:H36"/>
    <mergeCell ref="B23:B24"/>
    <mergeCell ref="C23:C24"/>
    <mergeCell ref="D23:D24"/>
    <mergeCell ref="E23:E24"/>
    <mergeCell ref="F23:F24"/>
    <mergeCell ref="G23:G24"/>
    <mergeCell ref="B104:B105"/>
    <mergeCell ref="C104:C105"/>
    <mergeCell ref="D104:D105"/>
    <mergeCell ref="E104:E105"/>
    <mergeCell ref="D92:D93"/>
    <mergeCell ref="E92:E93"/>
    <mergeCell ref="F48:F49"/>
    <mergeCell ref="G48:G49"/>
    <mergeCell ref="B48:B49"/>
    <mergeCell ref="C48:C49"/>
    <mergeCell ref="D48:D49"/>
    <mergeCell ref="E48:E49"/>
    <mergeCell ref="B59:B60"/>
    <mergeCell ref="C59:C60"/>
    <mergeCell ref="D59:D60"/>
    <mergeCell ref="E59:E60"/>
    <mergeCell ref="F59:F60"/>
    <mergeCell ref="G59:G60"/>
    <mergeCell ref="F139:F140"/>
    <mergeCell ref="G139:G140"/>
    <mergeCell ref="B139:B140"/>
    <mergeCell ref="C139:C140"/>
    <mergeCell ref="D139:D140"/>
    <mergeCell ref="E139:E140"/>
    <mergeCell ref="B72:B73"/>
    <mergeCell ref="C72:C73"/>
    <mergeCell ref="D72:D73"/>
    <mergeCell ref="E72:E73"/>
    <mergeCell ref="B118:B119"/>
    <mergeCell ref="C118:C119"/>
    <mergeCell ref="D118:D119"/>
    <mergeCell ref="E118:E119"/>
    <mergeCell ref="B92:B93"/>
    <mergeCell ref="C92:C93"/>
    <mergeCell ref="F118:F119"/>
    <mergeCell ref="G118:G119"/>
    <mergeCell ref="H118:H119"/>
    <mergeCell ref="H72:H73"/>
    <mergeCell ref="F72:F73"/>
    <mergeCell ref="G72:G73"/>
    <mergeCell ref="F104:F105"/>
    <mergeCell ref="G104:G105"/>
    <mergeCell ref="F92:F93"/>
    <mergeCell ref="G92:G93"/>
  </mergeCells>
  <printOptions horizontalCentered="1"/>
  <pageMargins left="0.75" right="0.75" top="1" bottom="1" header="0.5" footer="0.5"/>
  <pageSetup horizontalDpi="300" verticalDpi="300" orientation="portrait" scale="50" r:id="rId2"/>
  <headerFooter alignWithMargins="0">
    <oddFooter>&amp;L&amp;F&amp;CUniversity of Idaho&amp;R&amp;A</oddFooter>
  </headerFooter>
  <rowBreaks count="1" manualBreakCount="1">
    <brk id="82" max="25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V44"/>
  <sheetViews>
    <sheetView workbookViewId="0" topLeftCell="A1">
      <selection activeCell="J3" sqref="J3"/>
    </sheetView>
  </sheetViews>
  <sheetFormatPr defaultColWidth="8.00390625" defaultRowHeight="14.25"/>
  <cols>
    <col min="1" max="1" width="23.125" style="203" customWidth="1"/>
    <col min="2" max="2" width="9.375" style="203" customWidth="1"/>
    <col min="3" max="3" width="9.625" style="203" customWidth="1"/>
    <col min="4" max="4" width="9.375" style="203" customWidth="1"/>
    <col min="5" max="5" width="8.50390625" style="203" customWidth="1"/>
    <col min="6" max="7" width="9.625" style="203" customWidth="1"/>
    <col min="8" max="8" width="10.375" style="203" customWidth="1"/>
    <col min="9" max="9" width="1.4921875" style="203" customWidth="1"/>
    <col min="10" max="10" width="9.625" style="203" customWidth="1"/>
    <col min="11" max="11" width="1.12109375" style="203" customWidth="1"/>
    <col min="12" max="12" width="9.625" style="228" customWidth="1"/>
    <col min="13" max="13" width="1.12109375" style="228" customWidth="1"/>
    <col min="14" max="14" width="9.625" style="228" customWidth="1"/>
    <col min="15" max="15" width="1.37890625" style="228" customWidth="1"/>
    <col min="16" max="16" width="9.625" style="228" customWidth="1"/>
    <col min="17" max="17" width="1.37890625" style="228" customWidth="1"/>
    <col min="18" max="18" width="9.625" style="228" customWidth="1"/>
    <col min="19" max="19" width="1.00390625" style="228" customWidth="1"/>
    <col min="20" max="20" width="9.875" style="228" customWidth="1"/>
    <col min="21" max="21" width="1.75390625" style="228" customWidth="1"/>
    <col min="22" max="16384" width="8.00390625" style="203" customWidth="1"/>
  </cols>
  <sheetData>
    <row r="1" spans="1:22" ht="18" customHeight="1">
      <c r="A1" s="201" t="s">
        <v>270</v>
      </c>
      <c r="B1" s="202"/>
      <c r="C1" s="202"/>
      <c r="D1" s="202"/>
      <c r="E1" s="202"/>
      <c r="F1" s="202"/>
      <c r="G1" s="202"/>
      <c r="H1" s="202"/>
      <c r="I1" s="202"/>
      <c r="J1" s="202"/>
      <c r="K1" s="202"/>
      <c r="L1" s="202"/>
      <c r="M1" s="202"/>
      <c r="N1" s="202"/>
      <c r="O1" s="202"/>
      <c r="P1" s="202"/>
      <c r="Q1" s="202"/>
      <c r="R1" s="202"/>
      <c r="S1" s="202"/>
      <c r="T1" s="202"/>
      <c r="U1" s="202"/>
      <c r="V1" s="576"/>
    </row>
    <row r="2" spans="1:22" ht="42" customHeight="1">
      <c r="A2" s="201" t="s">
        <v>110</v>
      </c>
      <c r="B2" s="202"/>
      <c r="C2" s="202"/>
      <c r="D2" s="202"/>
      <c r="E2" s="202"/>
      <c r="F2" s="202"/>
      <c r="G2" s="202"/>
      <c r="H2" s="204" t="s">
        <v>111</v>
      </c>
      <c r="I2" s="202"/>
      <c r="J2" s="205" t="str">
        <f>Crops!B10</f>
        <v>Potatoes: No-Storage</v>
      </c>
      <c r="K2" s="206"/>
      <c r="L2" s="205" t="str">
        <f>Crops!C10</f>
        <v>Hard Red Spring Wheat</v>
      </c>
      <c r="M2" s="206"/>
      <c r="N2" s="205" t="str">
        <f>Crops!D10</f>
        <v>Soft White Winter Wheat</v>
      </c>
      <c r="O2" s="206"/>
      <c r="P2" s="205" t="str">
        <f>Crops!E10</f>
        <v>Malting Barley</v>
      </c>
      <c r="Q2" s="206"/>
      <c r="R2" s="205" t="str">
        <f>Crops!F10</f>
        <v>Field Corn </v>
      </c>
      <c r="S2" s="207"/>
      <c r="T2" s="207" t="str">
        <f>Crops!G10</f>
        <v>Sugarbeets</v>
      </c>
      <c r="U2" s="202"/>
      <c r="V2" s="577"/>
    </row>
    <row r="3" spans="1:22" ht="12.75">
      <c r="A3" s="208"/>
      <c r="B3" s="209" t="s">
        <v>112</v>
      </c>
      <c r="C3" s="208"/>
      <c r="D3" s="208"/>
      <c r="E3" s="208"/>
      <c r="F3" s="208"/>
      <c r="G3" s="208"/>
      <c r="H3" s="210" t="s">
        <v>113</v>
      </c>
      <c r="I3" s="208"/>
      <c r="J3" s="579">
        <v>500</v>
      </c>
      <c r="K3" s="211">
        <v>500</v>
      </c>
      <c r="L3" s="579">
        <v>500</v>
      </c>
      <c r="M3" s="211"/>
      <c r="N3" s="579">
        <v>500</v>
      </c>
      <c r="O3" s="211"/>
      <c r="P3" s="579">
        <v>0</v>
      </c>
      <c r="Q3" s="211"/>
      <c r="R3" s="579">
        <v>0</v>
      </c>
      <c r="S3" s="211"/>
      <c r="T3" s="579">
        <v>0</v>
      </c>
      <c r="U3" s="202"/>
      <c r="V3" s="576"/>
    </row>
    <row r="4" spans="1:22" ht="12.75">
      <c r="A4" s="202"/>
      <c r="B4" s="202"/>
      <c r="C4" s="202"/>
      <c r="D4" s="202"/>
      <c r="E4" s="202"/>
      <c r="F4" s="202"/>
      <c r="G4" s="202"/>
      <c r="H4" s="212" t="s">
        <v>114</v>
      </c>
      <c r="I4" s="212"/>
      <c r="J4" s="213" t="s">
        <v>70</v>
      </c>
      <c r="K4" s="202"/>
      <c r="L4" s="212" t="s">
        <v>71</v>
      </c>
      <c r="M4" s="214"/>
      <c r="N4" s="212" t="s">
        <v>72</v>
      </c>
      <c r="O4" s="212"/>
      <c r="P4" s="212" t="s">
        <v>73</v>
      </c>
      <c r="Q4" s="212"/>
      <c r="R4" s="212" t="s">
        <v>74</v>
      </c>
      <c r="S4" s="212"/>
      <c r="T4" s="212" t="s">
        <v>75</v>
      </c>
      <c r="U4" s="213"/>
      <c r="V4" s="577" t="s">
        <v>13</v>
      </c>
    </row>
    <row r="5" spans="1:22" ht="12.75">
      <c r="A5" s="202"/>
      <c r="B5" s="214" t="s">
        <v>115</v>
      </c>
      <c r="C5" s="214" t="s">
        <v>116</v>
      </c>
      <c r="D5" s="214" t="s">
        <v>117</v>
      </c>
      <c r="E5" s="214" t="s">
        <v>118</v>
      </c>
      <c r="F5" s="214" t="s">
        <v>119</v>
      </c>
      <c r="G5" s="212" t="s">
        <v>29</v>
      </c>
      <c r="H5" s="212" t="s">
        <v>120</v>
      </c>
      <c r="I5" s="212"/>
      <c r="J5" s="214" t="s">
        <v>121</v>
      </c>
      <c r="K5" s="202"/>
      <c r="L5" s="212" t="s">
        <v>121</v>
      </c>
      <c r="M5" s="214"/>
      <c r="N5" s="212" t="s">
        <v>121</v>
      </c>
      <c r="O5" s="212"/>
      <c r="P5" s="212" t="s">
        <v>121</v>
      </c>
      <c r="Q5" s="212"/>
      <c r="R5" s="212" t="s">
        <v>121</v>
      </c>
      <c r="S5" s="212"/>
      <c r="T5" s="212" t="s">
        <v>121</v>
      </c>
      <c r="U5" s="213"/>
      <c r="V5" s="212" t="s">
        <v>121</v>
      </c>
    </row>
    <row r="6" spans="1:22" ht="12.75">
      <c r="A6" s="208" t="s">
        <v>122</v>
      </c>
      <c r="B6" s="211" t="s">
        <v>32</v>
      </c>
      <c r="C6" s="211" t="s">
        <v>123</v>
      </c>
      <c r="D6" s="211" t="s">
        <v>32</v>
      </c>
      <c r="E6" s="211" t="s">
        <v>124</v>
      </c>
      <c r="F6" s="211" t="s">
        <v>124</v>
      </c>
      <c r="G6" s="215" t="s">
        <v>32</v>
      </c>
      <c r="H6" s="215" t="s">
        <v>93</v>
      </c>
      <c r="I6" s="215"/>
      <c r="J6" s="211" t="s">
        <v>125</v>
      </c>
      <c r="K6" s="208"/>
      <c r="L6" s="215" t="s">
        <v>125</v>
      </c>
      <c r="M6" s="211"/>
      <c r="N6" s="215" t="s">
        <v>125</v>
      </c>
      <c r="O6" s="215"/>
      <c r="P6" s="215" t="s">
        <v>125</v>
      </c>
      <c r="Q6" s="215"/>
      <c r="R6" s="215" t="s">
        <v>125</v>
      </c>
      <c r="S6" s="215"/>
      <c r="T6" s="215" t="s">
        <v>125</v>
      </c>
      <c r="U6" s="209"/>
      <c r="V6" s="215" t="s">
        <v>125</v>
      </c>
    </row>
    <row r="7" spans="1:22" ht="5.25" customHeight="1">
      <c r="A7" s="216"/>
      <c r="B7" s="217"/>
      <c r="C7" s="217"/>
      <c r="D7" s="217"/>
      <c r="E7" s="217"/>
      <c r="F7" s="217"/>
      <c r="G7" s="217"/>
      <c r="H7" s="217"/>
      <c r="I7" s="217"/>
      <c r="J7" s="217"/>
      <c r="K7" s="202"/>
      <c r="L7" s="202"/>
      <c r="M7" s="202"/>
      <c r="N7" s="202"/>
      <c r="O7" s="202"/>
      <c r="P7" s="202"/>
      <c r="Q7" s="202"/>
      <c r="R7" s="202"/>
      <c r="S7" s="202"/>
      <c r="T7" s="202"/>
      <c r="U7" s="202"/>
      <c r="V7" s="576"/>
    </row>
    <row r="8" spans="1:22" ht="12.75">
      <c r="A8" s="218" t="s">
        <v>126</v>
      </c>
      <c r="B8" s="219">
        <v>85000</v>
      </c>
      <c r="C8" s="219">
        <v>135000</v>
      </c>
      <c r="D8" s="219">
        <v>20000</v>
      </c>
      <c r="E8" s="220">
        <v>15</v>
      </c>
      <c r="F8" s="220">
        <v>10</v>
      </c>
      <c r="G8" s="581">
        <f aca="true" t="shared" si="0" ref="G8:G24">IF(E8=0,"",C8-((C8-D8)/E8)*(E8-F8))</f>
        <v>96666.66666666666</v>
      </c>
      <c r="H8" s="581">
        <f>IF(E8=0,"",(C8-D8)/E8)</f>
        <v>7666.666666666667</v>
      </c>
      <c r="I8" s="221"/>
      <c r="J8" s="222">
        <v>0.5</v>
      </c>
      <c r="K8" s="223"/>
      <c r="L8" s="222">
        <v>0.25</v>
      </c>
      <c r="M8" s="224"/>
      <c r="N8" s="222">
        <v>0.25</v>
      </c>
      <c r="O8" s="224"/>
      <c r="P8" s="222"/>
      <c r="Q8" s="224"/>
      <c r="R8" s="222"/>
      <c r="S8" s="224"/>
      <c r="T8" s="222"/>
      <c r="U8" s="202"/>
      <c r="V8" s="578">
        <f>J8+L8+N8+P8+R8+T8</f>
        <v>1</v>
      </c>
    </row>
    <row r="9" spans="1:22" ht="12.75">
      <c r="A9" s="218" t="s">
        <v>127</v>
      </c>
      <c r="B9" s="219">
        <v>70000</v>
      </c>
      <c r="C9" s="219">
        <v>125000</v>
      </c>
      <c r="D9" s="219">
        <v>15000</v>
      </c>
      <c r="E9" s="220">
        <v>15</v>
      </c>
      <c r="F9" s="220">
        <v>8</v>
      </c>
      <c r="G9" s="581">
        <f t="shared" si="0"/>
        <v>73666.66666666667</v>
      </c>
      <c r="H9" s="581">
        <f>IF(E9=0,"",(C9-D9)/E9)</f>
        <v>7333.333333333333</v>
      </c>
      <c r="I9" s="221"/>
      <c r="J9" s="222">
        <v>0.4</v>
      </c>
      <c r="K9" s="223"/>
      <c r="L9" s="222">
        <v>0.3</v>
      </c>
      <c r="M9" s="224"/>
      <c r="N9" s="222">
        <v>0.3</v>
      </c>
      <c r="O9" s="224"/>
      <c r="P9" s="222"/>
      <c r="Q9" s="224"/>
      <c r="R9" s="222"/>
      <c r="S9" s="224"/>
      <c r="T9" s="222"/>
      <c r="U9" s="202"/>
      <c r="V9" s="578">
        <f aca="true" t="shared" si="1" ref="V9:V42">J9+L9+N9+P9+R9+T9</f>
        <v>1</v>
      </c>
    </row>
    <row r="10" spans="1:22" ht="12.75">
      <c r="A10" s="218" t="s">
        <v>127</v>
      </c>
      <c r="B10" s="219">
        <v>65000</v>
      </c>
      <c r="C10" s="219">
        <v>120000</v>
      </c>
      <c r="D10" s="219">
        <v>15000</v>
      </c>
      <c r="E10" s="220">
        <v>15</v>
      </c>
      <c r="F10" s="220">
        <v>7</v>
      </c>
      <c r="G10" s="581">
        <f t="shared" si="0"/>
        <v>64000</v>
      </c>
      <c r="H10" s="581">
        <f aca="true" t="shared" si="2" ref="H10:H42">IF(E10=0,"",(C10-D10)/E10)</f>
        <v>7000</v>
      </c>
      <c r="I10" s="221"/>
      <c r="J10" s="222">
        <v>0.45</v>
      </c>
      <c r="K10" s="223"/>
      <c r="L10" s="222">
        <v>0.3</v>
      </c>
      <c r="M10" s="224"/>
      <c r="N10" s="222">
        <v>0.25</v>
      </c>
      <c r="O10" s="224"/>
      <c r="P10" s="222"/>
      <c r="Q10" s="224"/>
      <c r="R10" s="222"/>
      <c r="S10" s="224"/>
      <c r="T10" s="222"/>
      <c r="U10" s="202"/>
      <c r="V10" s="578">
        <f t="shared" si="1"/>
        <v>1</v>
      </c>
    </row>
    <row r="11" spans="1:22" ht="12.75">
      <c r="A11" s="218" t="s">
        <v>128</v>
      </c>
      <c r="B11" s="219">
        <v>12000</v>
      </c>
      <c r="C11" s="219">
        <v>20000</v>
      </c>
      <c r="D11" s="219">
        <v>3000</v>
      </c>
      <c r="E11" s="220">
        <v>12</v>
      </c>
      <c r="F11" s="220">
        <v>6</v>
      </c>
      <c r="G11" s="581">
        <f t="shared" si="0"/>
        <v>11500</v>
      </c>
      <c r="H11" s="581">
        <f t="shared" si="2"/>
        <v>1416.6666666666667</v>
      </c>
      <c r="I11" s="221"/>
      <c r="J11" s="222">
        <v>0.35</v>
      </c>
      <c r="K11" s="223"/>
      <c r="L11" s="222">
        <v>0.35</v>
      </c>
      <c r="M11" s="224"/>
      <c r="N11" s="222">
        <v>0.3</v>
      </c>
      <c r="O11" s="224"/>
      <c r="P11" s="222"/>
      <c r="Q11" s="224"/>
      <c r="R11" s="222"/>
      <c r="S11" s="224"/>
      <c r="T11" s="222"/>
      <c r="U11" s="202"/>
      <c r="V11" s="578">
        <f t="shared" si="1"/>
        <v>1</v>
      </c>
    </row>
    <row r="12" spans="1:22" ht="12.75">
      <c r="A12" s="218" t="s">
        <v>129</v>
      </c>
      <c r="B12" s="219">
        <v>7500</v>
      </c>
      <c r="C12" s="219">
        <v>15000</v>
      </c>
      <c r="D12" s="219">
        <v>1500</v>
      </c>
      <c r="E12" s="220">
        <v>15</v>
      </c>
      <c r="F12" s="220">
        <v>8</v>
      </c>
      <c r="G12" s="581">
        <f t="shared" si="0"/>
        <v>8700</v>
      </c>
      <c r="H12" s="581">
        <f t="shared" si="2"/>
        <v>900</v>
      </c>
      <c r="I12" s="221"/>
      <c r="J12" s="222">
        <v>0.25</v>
      </c>
      <c r="K12" s="223"/>
      <c r="L12" s="222">
        <v>0.4</v>
      </c>
      <c r="M12" s="224"/>
      <c r="N12" s="222"/>
      <c r="O12" s="224"/>
      <c r="P12" s="222"/>
      <c r="Q12" s="224"/>
      <c r="R12" s="222"/>
      <c r="S12" s="224"/>
      <c r="T12" s="222"/>
      <c r="U12" s="202"/>
      <c r="V12" s="578">
        <f t="shared" si="1"/>
        <v>0.65</v>
      </c>
    </row>
    <row r="13" spans="1:22" ht="12.75">
      <c r="A13" s="218" t="s">
        <v>130</v>
      </c>
      <c r="B13" s="219">
        <v>4500</v>
      </c>
      <c r="C13" s="219">
        <v>9500</v>
      </c>
      <c r="D13" s="219">
        <v>1200</v>
      </c>
      <c r="E13" s="220">
        <v>12</v>
      </c>
      <c r="F13" s="220">
        <v>5</v>
      </c>
      <c r="G13" s="581">
        <f t="shared" si="0"/>
        <v>4658.333333333334</v>
      </c>
      <c r="H13" s="581">
        <f t="shared" si="2"/>
        <v>691.6666666666666</v>
      </c>
      <c r="I13" s="221"/>
      <c r="J13" s="222">
        <v>1</v>
      </c>
      <c r="K13" s="223"/>
      <c r="L13" s="222"/>
      <c r="M13" s="224"/>
      <c r="N13" s="222"/>
      <c r="O13" s="224"/>
      <c r="P13" s="222"/>
      <c r="Q13" s="224"/>
      <c r="R13" s="222"/>
      <c r="S13" s="224"/>
      <c r="T13" s="222"/>
      <c r="U13" s="202"/>
      <c r="V13" s="578">
        <f t="shared" si="1"/>
        <v>1</v>
      </c>
    </row>
    <row r="14" spans="1:22" ht="12.75">
      <c r="A14" s="218" t="s">
        <v>131</v>
      </c>
      <c r="B14" s="219">
        <v>24000</v>
      </c>
      <c r="C14" s="219">
        <v>38000</v>
      </c>
      <c r="D14" s="219">
        <v>5000</v>
      </c>
      <c r="E14" s="220">
        <v>12</v>
      </c>
      <c r="F14" s="220">
        <v>8</v>
      </c>
      <c r="G14" s="581">
        <f t="shared" si="0"/>
        <v>27000</v>
      </c>
      <c r="H14" s="581">
        <f t="shared" si="2"/>
        <v>2750</v>
      </c>
      <c r="I14" s="221"/>
      <c r="J14" s="222">
        <v>1</v>
      </c>
      <c r="K14" s="223"/>
      <c r="L14" s="222"/>
      <c r="M14" s="224"/>
      <c r="N14" s="222"/>
      <c r="O14" s="224"/>
      <c r="P14" s="222"/>
      <c r="Q14" s="224"/>
      <c r="R14" s="222"/>
      <c r="S14" s="224"/>
      <c r="T14" s="222"/>
      <c r="U14" s="202"/>
      <c r="V14" s="578">
        <f t="shared" si="1"/>
        <v>1</v>
      </c>
    </row>
    <row r="15" spans="1:22" ht="12.75">
      <c r="A15" s="218" t="s">
        <v>132</v>
      </c>
      <c r="B15" s="219">
        <v>18000</v>
      </c>
      <c r="C15" s="219">
        <v>25000</v>
      </c>
      <c r="D15" s="219">
        <v>2500</v>
      </c>
      <c r="E15" s="220">
        <v>15</v>
      </c>
      <c r="F15" s="220">
        <v>10</v>
      </c>
      <c r="G15" s="581">
        <f t="shared" si="0"/>
        <v>17500</v>
      </c>
      <c r="H15" s="581">
        <f t="shared" si="2"/>
        <v>1500</v>
      </c>
      <c r="I15" s="221"/>
      <c r="J15" s="222">
        <v>1</v>
      </c>
      <c r="K15" s="223"/>
      <c r="L15" s="222"/>
      <c r="M15" s="224"/>
      <c r="N15" s="222"/>
      <c r="O15" s="224"/>
      <c r="P15" s="222"/>
      <c r="Q15" s="224"/>
      <c r="R15" s="222"/>
      <c r="S15" s="224"/>
      <c r="T15" s="222"/>
      <c r="U15" s="202"/>
      <c r="V15" s="578">
        <f t="shared" si="1"/>
        <v>1</v>
      </c>
    </row>
    <row r="16" spans="1:22" ht="12.75">
      <c r="A16" s="218" t="s">
        <v>133</v>
      </c>
      <c r="B16" s="219">
        <v>3000</v>
      </c>
      <c r="C16" s="219">
        <v>6500</v>
      </c>
      <c r="D16" s="219">
        <v>750</v>
      </c>
      <c r="E16" s="220">
        <v>15</v>
      </c>
      <c r="F16" s="220">
        <v>7</v>
      </c>
      <c r="G16" s="581">
        <f t="shared" si="0"/>
        <v>3433.3333333333335</v>
      </c>
      <c r="H16" s="581">
        <f t="shared" si="2"/>
        <v>383.3333333333333</v>
      </c>
      <c r="I16" s="221"/>
      <c r="J16" s="222">
        <v>1</v>
      </c>
      <c r="K16" s="223"/>
      <c r="L16" s="222"/>
      <c r="M16" s="224"/>
      <c r="N16" s="222"/>
      <c r="O16" s="224"/>
      <c r="P16" s="222"/>
      <c r="Q16" s="224"/>
      <c r="R16" s="222"/>
      <c r="S16" s="224"/>
      <c r="T16" s="222"/>
      <c r="U16" s="202"/>
      <c r="V16" s="578">
        <f t="shared" si="1"/>
        <v>1</v>
      </c>
    </row>
    <row r="17" spans="1:22" ht="12.75">
      <c r="A17" s="218" t="s">
        <v>134</v>
      </c>
      <c r="B17" s="219">
        <v>4000</v>
      </c>
      <c r="C17" s="219">
        <v>7500</v>
      </c>
      <c r="D17" s="219">
        <v>1000</v>
      </c>
      <c r="E17" s="220">
        <v>15</v>
      </c>
      <c r="F17" s="220">
        <v>6</v>
      </c>
      <c r="G17" s="581">
        <f t="shared" si="0"/>
        <v>3600</v>
      </c>
      <c r="H17" s="581">
        <f t="shared" si="2"/>
        <v>433.3333333333333</v>
      </c>
      <c r="I17" s="221"/>
      <c r="J17" s="222">
        <v>0.5</v>
      </c>
      <c r="K17" s="223"/>
      <c r="L17" s="222">
        <v>0.25</v>
      </c>
      <c r="M17" s="224"/>
      <c r="N17" s="222">
        <v>0.25</v>
      </c>
      <c r="O17" s="224"/>
      <c r="P17" s="222"/>
      <c r="Q17" s="224"/>
      <c r="R17" s="222"/>
      <c r="S17" s="224"/>
      <c r="T17" s="222"/>
      <c r="U17" s="202"/>
      <c r="V17" s="578">
        <f t="shared" si="1"/>
        <v>1</v>
      </c>
    </row>
    <row r="18" spans="1:22" ht="12.75">
      <c r="A18" s="580" t="s">
        <v>135</v>
      </c>
      <c r="B18" s="219">
        <v>6000</v>
      </c>
      <c r="C18" s="219">
        <v>16500</v>
      </c>
      <c r="D18" s="219">
        <v>3599</v>
      </c>
      <c r="E18" s="220">
        <v>8</v>
      </c>
      <c r="F18" s="220">
        <v>2</v>
      </c>
      <c r="G18" s="581">
        <f t="shared" si="0"/>
        <v>6824.25</v>
      </c>
      <c r="H18" s="581">
        <f t="shared" si="2"/>
        <v>1612.625</v>
      </c>
      <c r="I18" s="221"/>
      <c r="J18" s="222">
        <v>1</v>
      </c>
      <c r="K18" s="223"/>
      <c r="L18" s="222">
        <v>0</v>
      </c>
      <c r="M18" s="224"/>
      <c r="N18" s="222"/>
      <c r="O18" s="224"/>
      <c r="P18" s="222"/>
      <c r="Q18" s="224"/>
      <c r="R18" s="222"/>
      <c r="S18" s="224"/>
      <c r="T18" s="222"/>
      <c r="U18" s="202"/>
      <c r="V18" s="578">
        <f t="shared" si="1"/>
        <v>1</v>
      </c>
    </row>
    <row r="19" spans="1:22" ht="12.75">
      <c r="A19" s="580" t="s">
        <v>136</v>
      </c>
      <c r="B19" s="219">
        <v>2000</v>
      </c>
      <c r="C19" s="219">
        <v>2500</v>
      </c>
      <c r="D19" s="219">
        <v>200</v>
      </c>
      <c r="E19" s="220">
        <v>15</v>
      </c>
      <c r="F19" s="220">
        <v>10</v>
      </c>
      <c r="G19" s="581">
        <f t="shared" si="0"/>
        <v>1733.3333333333333</v>
      </c>
      <c r="H19" s="581">
        <f t="shared" si="2"/>
        <v>153.33333333333334</v>
      </c>
      <c r="I19" s="221"/>
      <c r="J19" s="222">
        <v>1</v>
      </c>
      <c r="K19" s="223"/>
      <c r="L19" s="222">
        <v>0</v>
      </c>
      <c r="M19" s="224"/>
      <c r="N19" s="222"/>
      <c r="O19" s="224"/>
      <c r="P19" s="222"/>
      <c r="Q19" s="224"/>
      <c r="R19" s="222"/>
      <c r="S19" s="224"/>
      <c r="T19" s="222"/>
      <c r="U19" s="202"/>
      <c r="V19" s="578">
        <f t="shared" si="1"/>
        <v>1</v>
      </c>
    </row>
    <row r="20" spans="1:22" ht="12.75">
      <c r="A20" s="218" t="s">
        <v>137</v>
      </c>
      <c r="B20" s="219">
        <v>28000</v>
      </c>
      <c r="C20" s="219">
        <v>55000</v>
      </c>
      <c r="D20" s="219">
        <v>10000</v>
      </c>
      <c r="E20" s="220">
        <v>10</v>
      </c>
      <c r="F20" s="220">
        <v>6</v>
      </c>
      <c r="G20" s="581">
        <f t="shared" si="0"/>
        <v>37000</v>
      </c>
      <c r="H20" s="581">
        <f t="shared" si="2"/>
        <v>4500</v>
      </c>
      <c r="I20" s="221"/>
      <c r="J20" s="222">
        <v>1</v>
      </c>
      <c r="K20" s="223"/>
      <c r="L20" s="222">
        <v>0</v>
      </c>
      <c r="M20" s="224"/>
      <c r="N20" s="222"/>
      <c r="O20" s="224"/>
      <c r="P20" s="222"/>
      <c r="Q20" s="224"/>
      <c r="R20" s="222"/>
      <c r="S20" s="224"/>
      <c r="T20" s="222"/>
      <c r="U20" s="202"/>
      <c r="V20" s="578">
        <f t="shared" si="1"/>
        <v>1</v>
      </c>
    </row>
    <row r="21" spans="1:22" ht="12.75">
      <c r="A21" s="218" t="s">
        <v>138</v>
      </c>
      <c r="B21" s="219">
        <v>35000</v>
      </c>
      <c r="C21" s="219">
        <v>45000</v>
      </c>
      <c r="D21" s="219">
        <v>8000</v>
      </c>
      <c r="E21" s="220">
        <v>10</v>
      </c>
      <c r="F21" s="220">
        <v>8</v>
      </c>
      <c r="G21" s="581">
        <f t="shared" si="0"/>
        <v>37600</v>
      </c>
      <c r="H21" s="581">
        <f t="shared" si="2"/>
        <v>3700</v>
      </c>
      <c r="I21" s="221"/>
      <c r="J21" s="222">
        <v>1</v>
      </c>
      <c r="K21" s="223"/>
      <c r="L21" s="222">
        <v>0</v>
      </c>
      <c r="M21" s="224"/>
      <c r="N21" s="222"/>
      <c r="O21" s="224"/>
      <c r="P21" s="222"/>
      <c r="Q21" s="224"/>
      <c r="R21" s="222"/>
      <c r="S21" s="224"/>
      <c r="T21" s="222"/>
      <c r="U21" s="202"/>
      <c r="V21" s="578">
        <f t="shared" si="1"/>
        <v>1</v>
      </c>
    </row>
    <row r="22" spans="1:22" ht="12.75">
      <c r="A22" s="218" t="s">
        <v>139</v>
      </c>
      <c r="B22" s="219">
        <v>35000</v>
      </c>
      <c r="C22" s="219">
        <v>55000</v>
      </c>
      <c r="D22" s="219">
        <v>8000</v>
      </c>
      <c r="E22" s="220">
        <v>15</v>
      </c>
      <c r="F22" s="220">
        <v>7</v>
      </c>
      <c r="G22" s="581">
        <f t="shared" si="0"/>
        <v>29933.333333333332</v>
      </c>
      <c r="H22" s="581">
        <f t="shared" si="2"/>
        <v>3133.3333333333335</v>
      </c>
      <c r="I22" s="221"/>
      <c r="J22" s="222">
        <v>0.8</v>
      </c>
      <c r="K22" s="223"/>
      <c r="L22" s="222">
        <v>0.1</v>
      </c>
      <c r="M22" s="224"/>
      <c r="N22" s="222">
        <v>0.1</v>
      </c>
      <c r="O22" s="224"/>
      <c r="P22" s="222"/>
      <c r="Q22" s="224"/>
      <c r="R22" s="222"/>
      <c r="S22" s="224"/>
      <c r="T22" s="222"/>
      <c r="U22" s="202"/>
      <c r="V22" s="578">
        <f t="shared" si="1"/>
        <v>1</v>
      </c>
    </row>
    <row r="23" spans="1:22" ht="12.75">
      <c r="A23" s="218" t="s">
        <v>140</v>
      </c>
      <c r="B23" s="219">
        <v>35000</v>
      </c>
      <c r="C23" s="219">
        <v>55000</v>
      </c>
      <c r="D23" s="219">
        <v>8000</v>
      </c>
      <c r="E23" s="220">
        <v>15</v>
      </c>
      <c r="F23" s="220">
        <v>7</v>
      </c>
      <c r="G23" s="581">
        <f t="shared" si="0"/>
        <v>29933.333333333332</v>
      </c>
      <c r="H23" s="581">
        <f t="shared" si="2"/>
        <v>3133.3333333333335</v>
      </c>
      <c r="I23" s="221"/>
      <c r="J23" s="222">
        <v>0.8</v>
      </c>
      <c r="K23" s="223"/>
      <c r="L23" s="222">
        <v>0.1</v>
      </c>
      <c r="M23" s="224"/>
      <c r="N23" s="222">
        <v>0.1</v>
      </c>
      <c r="O23" s="224"/>
      <c r="P23" s="222"/>
      <c r="Q23" s="224"/>
      <c r="R23" s="222"/>
      <c r="S23" s="224"/>
      <c r="T23" s="222"/>
      <c r="U23" s="202"/>
      <c r="V23" s="578">
        <f t="shared" si="1"/>
        <v>1</v>
      </c>
    </row>
    <row r="24" spans="1:22" ht="12.75">
      <c r="A24" s="218" t="s">
        <v>141</v>
      </c>
      <c r="B24" s="219">
        <v>25000</v>
      </c>
      <c r="C24" s="219">
        <v>55000</v>
      </c>
      <c r="D24" s="219">
        <v>8000</v>
      </c>
      <c r="E24" s="220">
        <v>15</v>
      </c>
      <c r="F24" s="220">
        <v>6</v>
      </c>
      <c r="G24" s="581">
        <f t="shared" si="0"/>
        <v>26800</v>
      </c>
      <c r="H24" s="581">
        <f t="shared" si="2"/>
        <v>3133.3333333333335</v>
      </c>
      <c r="I24" s="221"/>
      <c r="J24" s="222">
        <v>0.8</v>
      </c>
      <c r="K24" s="223"/>
      <c r="L24" s="222">
        <v>0.1</v>
      </c>
      <c r="M24" s="224"/>
      <c r="N24" s="222">
        <v>0.1</v>
      </c>
      <c r="O24" s="224"/>
      <c r="P24" s="222"/>
      <c r="Q24" s="224"/>
      <c r="R24" s="222"/>
      <c r="S24" s="224"/>
      <c r="T24" s="222"/>
      <c r="U24" s="202"/>
      <c r="V24" s="578">
        <f t="shared" si="1"/>
        <v>1</v>
      </c>
    </row>
    <row r="25" spans="1:22" ht="12.75">
      <c r="A25" s="218" t="s">
        <v>142</v>
      </c>
      <c r="B25" s="219">
        <v>25000</v>
      </c>
      <c r="C25" s="219">
        <v>55000</v>
      </c>
      <c r="D25" s="219">
        <v>8000</v>
      </c>
      <c r="E25" s="220">
        <v>15</v>
      </c>
      <c r="F25" s="220">
        <v>6</v>
      </c>
      <c r="G25" s="581">
        <f>IF(E25=0,"",C25-((C25-D25)/E25)*(E25-F25))</f>
        <v>26800</v>
      </c>
      <c r="H25" s="581">
        <f t="shared" si="2"/>
        <v>3133.3333333333335</v>
      </c>
      <c r="I25" s="221"/>
      <c r="J25" s="222">
        <v>1</v>
      </c>
      <c r="K25" s="223"/>
      <c r="L25" s="222">
        <v>0</v>
      </c>
      <c r="M25" s="224"/>
      <c r="N25" s="222"/>
      <c r="O25" s="224"/>
      <c r="P25" s="222"/>
      <c r="Q25" s="224"/>
      <c r="R25" s="222"/>
      <c r="S25" s="224"/>
      <c r="T25" s="222"/>
      <c r="U25" s="202"/>
      <c r="V25" s="578">
        <f t="shared" si="1"/>
        <v>1</v>
      </c>
    </row>
    <row r="26" spans="1:22" ht="12.75">
      <c r="A26" s="218" t="s">
        <v>143</v>
      </c>
      <c r="B26" s="219">
        <v>15000</v>
      </c>
      <c r="C26" s="219">
        <v>55000</v>
      </c>
      <c r="D26" s="219">
        <v>8000</v>
      </c>
      <c r="E26" s="220">
        <v>15</v>
      </c>
      <c r="F26" s="220">
        <v>5</v>
      </c>
      <c r="G26" s="581">
        <f>IF(E26=0,"",C26-((C26-D26)/E26)*(E26-F26))</f>
        <v>23666.666666666664</v>
      </c>
      <c r="H26" s="581">
        <f t="shared" si="2"/>
        <v>3133.3333333333335</v>
      </c>
      <c r="I26" s="221"/>
      <c r="J26" s="222">
        <v>1</v>
      </c>
      <c r="K26" s="223"/>
      <c r="L26" s="222">
        <v>0</v>
      </c>
      <c r="M26" s="224"/>
      <c r="N26" s="222"/>
      <c r="O26" s="224"/>
      <c r="P26" s="222"/>
      <c r="Q26" s="224"/>
      <c r="R26" s="222"/>
      <c r="S26" s="224"/>
      <c r="T26" s="222"/>
      <c r="U26" s="202"/>
      <c r="V26" s="578">
        <f t="shared" si="1"/>
        <v>1</v>
      </c>
    </row>
    <row r="27" spans="1:22" ht="12.75">
      <c r="A27" s="218" t="s">
        <v>20</v>
      </c>
      <c r="B27" s="219" t="s">
        <v>20</v>
      </c>
      <c r="C27" s="219" t="s">
        <v>20</v>
      </c>
      <c r="D27" s="219" t="s">
        <v>20</v>
      </c>
      <c r="E27" s="220">
        <v>0</v>
      </c>
      <c r="F27" s="220" t="s">
        <v>20</v>
      </c>
      <c r="G27" s="581">
        <f>IF(E27=0,"",C27-((C27-D27)/E27)*(E27-F27))</f>
      </c>
      <c r="H27" s="581">
        <f t="shared" si="2"/>
      </c>
      <c r="I27" s="221"/>
      <c r="J27" s="222"/>
      <c r="K27" s="223"/>
      <c r="L27" s="222"/>
      <c r="M27" s="224"/>
      <c r="N27" s="222"/>
      <c r="O27" s="224"/>
      <c r="P27" s="222"/>
      <c r="Q27" s="224"/>
      <c r="R27" s="222"/>
      <c r="S27" s="224"/>
      <c r="T27" s="222"/>
      <c r="U27" s="202"/>
      <c r="V27" s="578">
        <f t="shared" si="1"/>
        <v>0</v>
      </c>
    </row>
    <row r="28" spans="1:22" ht="12.75">
      <c r="A28" s="218" t="s">
        <v>144</v>
      </c>
      <c r="B28" s="219">
        <v>150000</v>
      </c>
      <c r="C28" s="219">
        <v>175000</v>
      </c>
      <c r="D28" s="219">
        <v>15000</v>
      </c>
      <c r="E28" s="220">
        <v>10</v>
      </c>
      <c r="F28" s="220">
        <v>10</v>
      </c>
      <c r="G28" s="581">
        <f aca="true" t="shared" si="3" ref="G28:G42">IF(E28=0,"",C28-((C28-D28)/E28)*(E28-F28))</f>
        <v>175000</v>
      </c>
      <c r="H28" s="581">
        <f t="shared" si="2"/>
        <v>16000</v>
      </c>
      <c r="I28" s="221"/>
      <c r="J28" s="222">
        <v>0</v>
      </c>
      <c r="K28" s="223"/>
      <c r="L28" s="222">
        <v>0</v>
      </c>
      <c r="M28" s="224"/>
      <c r="N28" s="222"/>
      <c r="O28" s="224"/>
      <c r="P28" s="222"/>
      <c r="Q28" s="224"/>
      <c r="R28" s="222"/>
      <c r="S28" s="224"/>
      <c r="T28" s="222"/>
      <c r="U28" s="202"/>
      <c r="V28" s="578">
        <f t="shared" si="1"/>
        <v>0</v>
      </c>
    </row>
    <row r="29" spans="1:22" ht="12.75">
      <c r="A29" s="218" t="s">
        <v>256</v>
      </c>
      <c r="B29" s="219">
        <v>18000</v>
      </c>
      <c r="C29" s="219">
        <v>24000</v>
      </c>
      <c r="D29" s="219">
        <v>4000</v>
      </c>
      <c r="E29" s="220">
        <v>10</v>
      </c>
      <c r="F29" s="220">
        <v>6</v>
      </c>
      <c r="G29" s="581">
        <f t="shared" si="3"/>
        <v>16000</v>
      </c>
      <c r="H29" s="581">
        <f t="shared" si="2"/>
        <v>2000</v>
      </c>
      <c r="I29" s="221"/>
      <c r="J29" s="222">
        <v>0</v>
      </c>
      <c r="K29" s="223"/>
      <c r="L29" s="222">
        <v>0.5</v>
      </c>
      <c r="M29" s="224"/>
      <c r="N29" s="222">
        <v>0.5</v>
      </c>
      <c r="O29" s="224"/>
      <c r="P29" s="222"/>
      <c r="Q29" s="224"/>
      <c r="R29" s="222"/>
      <c r="S29" s="224"/>
      <c r="T29" s="222"/>
      <c r="U29" s="202"/>
      <c r="V29" s="578">
        <f t="shared" si="1"/>
        <v>1</v>
      </c>
    </row>
    <row r="30" spans="1:22" ht="12.75">
      <c r="A30" s="218" t="s">
        <v>257</v>
      </c>
      <c r="B30" s="219">
        <v>6000</v>
      </c>
      <c r="C30" s="219">
        <v>11000</v>
      </c>
      <c r="D30" s="219">
        <v>1000</v>
      </c>
      <c r="E30" s="220">
        <v>15</v>
      </c>
      <c r="F30" s="220">
        <v>8</v>
      </c>
      <c r="G30" s="581">
        <f t="shared" si="3"/>
        <v>6333.333333333334</v>
      </c>
      <c r="H30" s="581">
        <f t="shared" si="2"/>
        <v>666.6666666666666</v>
      </c>
      <c r="I30" s="221"/>
      <c r="J30" s="222"/>
      <c r="K30" s="223"/>
      <c r="L30" s="222">
        <v>0.5</v>
      </c>
      <c r="M30" s="224"/>
      <c r="N30" s="222">
        <v>0.5</v>
      </c>
      <c r="O30" s="224"/>
      <c r="P30" s="222"/>
      <c r="Q30" s="224"/>
      <c r="R30" s="222"/>
      <c r="S30" s="224"/>
      <c r="T30" s="222"/>
      <c r="U30" s="202"/>
      <c r="V30" s="578">
        <f t="shared" si="1"/>
        <v>1</v>
      </c>
    </row>
    <row r="31" spans="1:22" ht="12.75">
      <c r="A31" s="218" t="s">
        <v>258</v>
      </c>
      <c r="B31" s="219">
        <v>10000</v>
      </c>
      <c r="C31" s="219">
        <v>23000</v>
      </c>
      <c r="D31" s="219">
        <v>2000</v>
      </c>
      <c r="E31" s="220">
        <v>15</v>
      </c>
      <c r="F31" s="220">
        <v>0</v>
      </c>
      <c r="G31" s="581">
        <f t="shared" si="3"/>
        <v>2000</v>
      </c>
      <c r="H31" s="581">
        <f t="shared" si="2"/>
        <v>1400</v>
      </c>
      <c r="I31" s="221"/>
      <c r="J31" s="222"/>
      <c r="K31" s="223"/>
      <c r="L31" s="222">
        <v>0.5</v>
      </c>
      <c r="M31" s="224"/>
      <c r="N31" s="222">
        <v>0.5</v>
      </c>
      <c r="O31" s="224"/>
      <c r="P31" s="222"/>
      <c r="Q31" s="224"/>
      <c r="R31" s="222"/>
      <c r="S31" s="224"/>
      <c r="T31" s="222"/>
      <c r="U31" s="202"/>
      <c r="V31" s="578">
        <f t="shared" si="1"/>
        <v>1</v>
      </c>
    </row>
    <row r="32" spans="1:22" ht="12.75">
      <c r="A32" s="218" t="s">
        <v>20</v>
      </c>
      <c r="B32" s="219" t="s">
        <v>20</v>
      </c>
      <c r="C32" s="219" t="s">
        <v>20</v>
      </c>
      <c r="D32" s="219" t="s">
        <v>20</v>
      </c>
      <c r="E32" s="220"/>
      <c r="F32" s="220" t="s">
        <v>20</v>
      </c>
      <c r="G32" s="581">
        <f t="shared" si="3"/>
      </c>
      <c r="H32" s="581">
        <f t="shared" si="2"/>
      </c>
      <c r="I32" s="221"/>
      <c r="J32" s="222"/>
      <c r="K32" s="223"/>
      <c r="L32" s="222"/>
      <c r="M32" s="224"/>
      <c r="N32" s="222"/>
      <c r="O32" s="224"/>
      <c r="P32" s="222"/>
      <c r="Q32" s="224"/>
      <c r="R32" s="222"/>
      <c r="S32" s="224"/>
      <c r="T32" s="222"/>
      <c r="U32" s="202"/>
      <c r="V32" s="578">
        <f t="shared" si="1"/>
        <v>0</v>
      </c>
    </row>
    <row r="33" spans="1:22" ht="12.75">
      <c r="A33" s="218" t="s">
        <v>277</v>
      </c>
      <c r="B33" s="219">
        <v>15000</v>
      </c>
      <c r="C33" s="219">
        <v>38000</v>
      </c>
      <c r="D33" s="219">
        <v>5000</v>
      </c>
      <c r="E33" s="220">
        <v>8</v>
      </c>
      <c r="F33" s="220">
        <v>4</v>
      </c>
      <c r="G33" s="581">
        <f t="shared" si="3"/>
        <v>21500</v>
      </c>
      <c r="H33" s="581">
        <f t="shared" si="2"/>
        <v>4125</v>
      </c>
      <c r="I33" s="221"/>
      <c r="J33" s="222">
        <v>0.5</v>
      </c>
      <c r="K33" s="223"/>
      <c r="L33" s="222">
        <v>0.25</v>
      </c>
      <c r="M33" s="224"/>
      <c r="N33" s="222">
        <v>0.25</v>
      </c>
      <c r="O33" s="224"/>
      <c r="P33" s="222"/>
      <c r="Q33" s="224"/>
      <c r="R33" s="222"/>
      <c r="S33" s="224"/>
      <c r="T33" s="222"/>
      <c r="U33" s="202"/>
      <c r="V33" s="578">
        <f t="shared" si="1"/>
        <v>1</v>
      </c>
    </row>
    <row r="34" spans="1:22" ht="12.75">
      <c r="A34" s="218" t="s">
        <v>277</v>
      </c>
      <c r="B34" s="219">
        <v>10000</v>
      </c>
      <c r="C34" s="219">
        <v>30000</v>
      </c>
      <c r="D34" s="219">
        <v>5000</v>
      </c>
      <c r="E34" s="220">
        <v>8</v>
      </c>
      <c r="F34" s="220">
        <v>3</v>
      </c>
      <c r="G34" s="581">
        <f t="shared" si="3"/>
        <v>14375</v>
      </c>
      <c r="H34" s="581">
        <f t="shared" si="2"/>
        <v>3125</v>
      </c>
      <c r="I34" s="221"/>
      <c r="J34" s="222">
        <v>0.5</v>
      </c>
      <c r="K34" s="223"/>
      <c r="L34" s="222">
        <v>0.25</v>
      </c>
      <c r="M34" s="224"/>
      <c r="N34" s="222">
        <v>0.25</v>
      </c>
      <c r="O34" s="224"/>
      <c r="P34" s="222"/>
      <c r="Q34" s="224"/>
      <c r="R34" s="222"/>
      <c r="S34" s="224"/>
      <c r="T34" s="222"/>
      <c r="U34" s="202"/>
      <c r="V34" s="578">
        <f t="shared" si="1"/>
        <v>1</v>
      </c>
    </row>
    <row r="35" spans="1:22" ht="12.75">
      <c r="A35" s="218" t="s">
        <v>20</v>
      </c>
      <c r="B35" s="219" t="s">
        <v>20</v>
      </c>
      <c r="C35" s="219" t="s">
        <v>20</v>
      </c>
      <c r="D35" s="219"/>
      <c r="E35" s="220"/>
      <c r="F35" s="220" t="s">
        <v>20</v>
      </c>
      <c r="G35" s="581">
        <f t="shared" si="3"/>
      </c>
      <c r="H35" s="581">
        <f t="shared" si="2"/>
      </c>
      <c r="I35" s="221"/>
      <c r="J35" s="222"/>
      <c r="K35" s="223"/>
      <c r="L35" s="222"/>
      <c r="M35" s="224"/>
      <c r="N35" s="222"/>
      <c r="O35" s="224"/>
      <c r="P35" s="222"/>
      <c r="Q35" s="224"/>
      <c r="R35" s="222"/>
      <c r="S35" s="224"/>
      <c r="T35" s="222"/>
      <c r="U35" s="202"/>
      <c r="V35" s="578">
        <f t="shared" si="1"/>
        <v>0</v>
      </c>
    </row>
    <row r="36" spans="1:22" ht="12.75">
      <c r="A36" s="218"/>
      <c r="B36" s="219"/>
      <c r="C36" s="219"/>
      <c r="D36" s="219"/>
      <c r="E36" s="220"/>
      <c r="F36" s="220"/>
      <c r="G36" s="581">
        <f t="shared" si="3"/>
      </c>
      <c r="H36" s="581">
        <f t="shared" si="2"/>
      </c>
      <c r="I36" s="221"/>
      <c r="J36" s="222"/>
      <c r="K36" s="223"/>
      <c r="L36" s="222"/>
      <c r="M36" s="224"/>
      <c r="N36" s="222"/>
      <c r="O36" s="224"/>
      <c r="P36" s="222"/>
      <c r="Q36" s="224"/>
      <c r="R36" s="222"/>
      <c r="S36" s="224"/>
      <c r="T36" s="222"/>
      <c r="U36" s="202"/>
      <c r="V36" s="578">
        <f t="shared" si="1"/>
        <v>0</v>
      </c>
    </row>
    <row r="37" spans="1:22" ht="12.75">
      <c r="A37" s="218"/>
      <c r="B37" s="219"/>
      <c r="C37" s="219"/>
      <c r="D37" s="219"/>
      <c r="E37" s="220"/>
      <c r="F37" s="220"/>
      <c r="G37" s="581">
        <f t="shared" si="3"/>
      </c>
      <c r="H37" s="581">
        <f t="shared" si="2"/>
      </c>
      <c r="I37" s="221"/>
      <c r="J37" s="222"/>
      <c r="K37" s="223"/>
      <c r="L37" s="222"/>
      <c r="M37" s="224"/>
      <c r="N37" s="222"/>
      <c r="O37" s="224"/>
      <c r="P37" s="222"/>
      <c r="Q37" s="224"/>
      <c r="R37" s="222"/>
      <c r="S37" s="224"/>
      <c r="T37" s="222"/>
      <c r="U37" s="202"/>
      <c r="V37" s="578">
        <f t="shared" si="1"/>
        <v>0</v>
      </c>
    </row>
    <row r="38" spans="1:22" ht="12.75">
      <c r="A38" s="218"/>
      <c r="B38" s="219"/>
      <c r="C38" s="219"/>
      <c r="D38" s="219"/>
      <c r="E38" s="220"/>
      <c r="F38" s="220"/>
      <c r="G38" s="581">
        <f t="shared" si="3"/>
      </c>
      <c r="H38" s="581">
        <f t="shared" si="2"/>
      </c>
      <c r="I38" s="221"/>
      <c r="J38" s="222"/>
      <c r="K38" s="223"/>
      <c r="L38" s="222"/>
      <c r="M38" s="224"/>
      <c r="N38" s="222"/>
      <c r="O38" s="224"/>
      <c r="P38" s="222"/>
      <c r="Q38" s="224"/>
      <c r="R38" s="222"/>
      <c r="S38" s="224"/>
      <c r="T38" s="222"/>
      <c r="U38" s="202"/>
      <c r="V38" s="578">
        <f t="shared" si="1"/>
        <v>0</v>
      </c>
    </row>
    <row r="39" spans="1:22" ht="12.75">
      <c r="A39" s="218"/>
      <c r="B39" s="219"/>
      <c r="C39" s="219"/>
      <c r="D39" s="219"/>
      <c r="E39" s="220"/>
      <c r="F39" s="220"/>
      <c r="G39" s="581">
        <f t="shared" si="3"/>
      </c>
      <c r="H39" s="581">
        <f t="shared" si="2"/>
      </c>
      <c r="I39" s="221"/>
      <c r="J39" s="222"/>
      <c r="K39" s="223"/>
      <c r="L39" s="222"/>
      <c r="M39" s="224"/>
      <c r="N39" s="222"/>
      <c r="O39" s="224"/>
      <c r="P39" s="222"/>
      <c r="Q39" s="224"/>
      <c r="R39" s="222"/>
      <c r="S39" s="224"/>
      <c r="T39" s="222"/>
      <c r="U39" s="202"/>
      <c r="V39" s="578">
        <f t="shared" si="1"/>
        <v>0</v>
      </c>
    </row>
    <row r="40" spans="1:22" ht="12.75">
      <c r="A40" s="218"/>
      <c r="B40" s="219"/>
      <c r="C40" s="219"/>
      <c r="D40" s="219"/>
      <c r="E40" s="220"/>
      <c r="F40" s="220"/>
      <c r="G40" s="581">
        <f t="shared" si="3"/>
      </c>
      <c r="H40" s="581">
        <f t="shared" si="2"/>
      </c>
      <c r="I40" s="221"/>
      <c r="J40" s="222"/>
      <c r="K40" s="223"/>
      <c r="L40" s="222"/>
      <c r="M40" s="224"/>
      <c r="N40" s="222"/>
      <c r="O40" s="224"/>
      <c r="P40" s="222"/>
      <c r="Q40" s="224"/>
      <c r="R40" s="222"/>
      <c r="S40" s="224"/>
      <c r="T40" s="222"/>
      <c r="U40" s="202"/>
      <c r="V40" s="578">
        <f t="shared" si="1"/>
        <v>0</v>
      </c>
    </row>
    <row r="41" spans="1:22" ht="12.75">
      <c r="A41" s="218"/>
      <c r="B41" s="219" t="s">
        <v>20</v>
      </c>
      <c r="C41" s="219"/>
      <c r="D41" s="219"/>
      <c r="E41" s="220"/>
      <c r="F41" s="220"/>
      <c r="G41" s="581">
        <f t="shared" si="3"/>
      </c>
      <c r="H41" s="581">
        <f t="shared" si="2"/>
      </c>
      <c r="I41" s="221"/>
      <c r="J41" s="222"/>
      <c r="K41" s="223"/>
      <c r="L41" s="222"/>
      <c r="M41" s="224"/>
      <c r="N41" s="222"/>
      <c r="O41" s="224"/>
      <c r="P41" s="222"/>
      <c r="Q41" s="224"/>
      <c r="R41" s="222"/>
      <c r="S41" s="224"/>
      <c r="T41" s="222"/>
      <c r="U41" s="202"/>
      <c r="V41" s="578">
        <f t="shared" si="1"/>
        <v>0</v>
      </c>
    </row>
    <row r="42" spans="1:22" ht="12.75">
      <c r="A42" s="218" t="s">
        <v>20</v>
      </c>
      <c r="B42" s="219"/>
      <c r="C42" s="219"/>
      <c r="D42" s="219"/>
      <c r="E42" s="220"/>
      <c r="F42" s="220"/>
      <c r="G42" s="581">
        <f t="shared" si="3"/>
      </c>
      <c r="H42" s="581">
        <f t="shared" si="2"/>
      </c>
      <c r="I42" s="221"/>
      <c r="J42" s="222"/>
      <c r="K42" s="223"/>
      <c r="L42" s="222"/>
      <c r="M42" s="224"/>
      <c r="N42" s="222"/>
      <c r="O42" s="224"/>
      <c r="P42" s="222"/>
      <c r="Q42" s="224"/>
      <c r="R42" s="222"/>
      <c r="S42" s="224"/>
      <c r="T42" s="222"/>
      <c r="U42" s="202"/>
      <c r="V42" s="578">
        <f t="shared" si="1"/>
        <v>0</v>
      </c>
    </row>
    <row r="43" spans="1:22" ht="7.5" customHeight="1">
      <c r="A43" s="584" t="s">
        <v>20</v>
      </c>
      <c r="B43" s="585"/>
      <c r="C43" s="585"/>
      <c r="D43" s="585"/>
      <c r="E43" s="582"/>
      <c r="F43" s="582"/>
      <c r="G43" s="582"/>
      <c r="H43" s="582"/>
      <c r="I43" s="225"/>
      <c r="J43" s="226"/>
      <c r="K43" s="208"/>
      <c r="L43" s="208"/>
      <c r="M43" s="208"/>
      <c r="N43" s="208"/>
      <c r="O43" s="208"/>
      <c r="P43" s="208"/>
      <c r="Q43" s="208"/>
      <c r="R43" s="208"/>
      <c r="S43" s="208"/>
      <c r="T43" s="208"/>
      <c r="U43" s="208"/>
      <c r="V43" s="588"/>
    </row>
    <row r="44" spans="1:22" ht="12.75">
      <c r="A44" s="586" t="s">
        <v>13</v>
      </c>
      <c r="B44" s="583">
        <f>SUM(B8:B42)</f>
        <v>708000</v>
      </c>
      <c r="C44" s="583">
        <f>SUM(C8:C42)</f>
        <v>1196500</v>
      </c>
      <c r="D44" s="587"/>
      <c r="E44" s="587"/>
      <c r="F44" s="587"/>
      <c r="G44" s="583">
        <f>SUM(G8:G42)</f>
        <v>766224.2499999999</v>
      </c>
      <c r="H44" s="583">
        <f>SUM(H8:H42)</f>
        <v>83024.29166666667</v>
      </c>
      <c r="I44" s="202"/>
      <c r="J44" s="202"/>
      <c r="K44" s="202"/>
      <c r="L44" s="202"/>
      <c r="M44" s="202"/>
      <c r="N44" s="202"/>
      <c r="O44" s="202"/>
      <c r="P44" s="202"/>
      <c r="Q44" s="202"/>
      <c r="R44" s="202"/>
      <c r="S44" s="202"/>
      <c r="T44" s="202"/>
      <c r="U44" s="202"/>
      <c r="V44" s="576"/>
    </row>
    <row r="45" s="227" customFormat="1" ht="12.75"/>
    <row r="46" s="227" customFormat="1" ht="12.75"/>
    <row r="47" s="227" customFormat="1" ht="12.75"/>
    <row r="48" s="227" customFormat="1" ht="12.75"/>
    <row r="49" s="227" customFormat="1" ht="12.75"/>
    <row r="50" s="227" customFormat="1" ht="12.75"/>
    <row r="51" s="227" customFormat="1" ht="12.75"/>
    <row r="52" s="227" customFormat="1" ht="12.75"/>
    <row r="53" s="227" customFormat="1" ht="12.75"/>
    <row r="54" s="227" customFormat="1" ht="12.75"/>
    <row r="55" s="227" customFormat="1" ht="12.75"/>
    <row r="56" s="227" customFormat="1" ht="12.75"/>
    <row r="57" s="227" customFormat="1" ht="12.75"/>
    <row r="58" s="227" customFormat="1" ht="12.75"/>
    <row r="59" s="227" customFormat="1" ht="12.75"/>
    <row r="60" s="227" customFormat="1" ht="12.75"/>
    <row r="61" s="227" customFormat="1" ht="12.75"/>
    <row r="62" s="227" customFormat="1" ht="12.75"/>
    <row r="63" s="227" customFormat="1" ht="12.75"/>
    <row r="64" s="227" customFormat="1" ht="12.75"/>
    <row r="65" s="227" customFormat="1" ht="12.75"/>
    <row r="66" s="227" customFormat="1" ht="12.75"/>
    <row r="67" s="227" customFormat="1" ht="12.75"/>
    <row r="68" s="227" customFormat="1" ht="12.75"/>
    <row r="69" s="227" customFormat="1" ht="12.75"/>
    <row r="70" s="227" customFormat="1" ht="12.75"/>
    <row r="71" s="227" customFormat="1" ht="12.75"/>
    <row r="72" s="227" customFormat="1" ht="12.75"/>
    <row r="73" s="227" customFormat="1" ht="12.75"/>
    <row r="74" s="227" customFormat="1" ht="12.75"/>
    <row r="75" s="227" customFormat="1" ht="12.75"/>
    <row r="76" s="227" customFormat="1" ht="12.75"/>
    <row r="77" s="227" customFormat="1" ht="12.75"/>
    <row r="78" s="227" customFormat="1" ht="12.75"/>
    <row r="79" s="227" customFormat="1" ht="12.75"/>
    <row r="80" s="227" customFormat="1" ht="12.75"/>
    <row r="81" s="227" customFormat="1" ht="12.75"/>
    <row r="82" s="227" customFormat="1" ht="12.75"/>
    <row r="83" s="227" customFormat="1" ht="12.75"/>
    <row r="84" s="227" customFormat="1" ht="12.75"/>
    <row r="85" s="227" customFormat="1" ht="12.75"/>
    <row r="86" s="227" customFormat="1" ht="12.75"/>
    <row r="87" s="227" customFormat="1" ht="12.75"/>
    <row r="88" s="227" customFormat="1" ht="12.75"/>
    <row r="89" s="227" customFormat="1" ht="12.75"/>
    <row r="90" s="227" customFormat="1" ht="12.75"/>
    <row r="91" s="227" customFormat="1" ht="12.75"/>
    <row r="92" s="227" customFormat="1" ht="12.75"/>
    <row r="93" s="227" customFormat="1" ht="12.75"/>
    <row r="94" s="227" customFormat="1" ht="12.75"/>
    <row r="95" s="227" customFormat="1" ht="12.75"/>
    <row r="96" s="227" customFormat="1" ht="12.75"/>
    <row r="97" s="227" customFormat="1" ht="12.75"/>
    <row r="98" s="227" customFormat="1" ht="12.75"/>
    <row r="99" s="227" customFormat="1" ht="12.75"/>
    <row r="100" s="227" customFormat="1" ht="12.75"/>
    <row r="101" s="227" customFormat="1" ht="12.75"/>
    <row r="102" s="227" customFormat="1" ht="12.75"/>
    <row r="103" s="227" customFormat="1" ht="12.75"/>
    <row r="104" s="227" customFormat="1" ht="12.75"/>
    <row r="105" s="227" customFormat="1" ht="12.75"/>
    <row r="106" s="227" customFormat="1" ht="12.75"/>
    <row r="107" s="227" customFormat="1" ht="12.75"/>
    <row r="108" s="227" customFormat="1" ht="12.75"/>
    <row r="109" s="227" customFormat="1" ht="12.75"/>
    <row r="110" s="227" customFormat="1" ht="12.75"/>
    <row r="111" s="227" customFormat="1" ht="12.75"/>
    <row r="112" s="227" customFormat="1" ht="12.75"/>
    <row r="113" s="227" customFormat="1" ht="12.75"/>
    <row r="114" s="227" customFormat="1" ht="12.75"/>
    <row r="115" s="227" customFormat="1" ht="12.75"/>
    <row r="116" s="227" customFormat="1" ht="12.75"/>
    <row r="117" s="227" customFormat="1" ht="12.75"/>
    <row r="118" s="227" customFormat="1" ht="12.75"/>
    <row r="119" s="227" customFormat="1" ht="12.75"/>
    <row r="120" s="227" customFormat="1" ht="12.75"/>
    <row r="121" s="227" customFormat="1" ht="12.75"/>
    <row r="122" s="227" customFormat="1" ht="12.75"/>
    <row r="123" s="227" customFormat="1" ht="12.75"/>
    <row r="124" s="227" customFormat="1" ht="12.75"/>
    <row r="125" s="227" customFormat="1" ht="12.75"/>
    <row r="126" s="227" customFormat="1" ht="12.75"/>
    <row r="127" s="227" customFormat="1" ht="12.75"/>
    <row r="128" s="227" customFormat="1" ht="12.75"/>
    <row r="129" s="227" customFormat="1" ht="12.75"/>
    <row r="130" s="227" customFormat="1" ht="12.75"/>
    <row r="131" s="227" customFormat="1" ht="12.75"/>
    <row r="132" s="227" customFormat="1" ht="12.75"/>
    <row r="133" s="227" customFormat="1" ht="12.75"/>
    <row r="134" s="227" customFormat="1" ht="12.75"/>
    <row r="135" s="227" customFormat="1" ht="12.75"/>
    <row r="136" s="227" customFormat="1" ht="12.75"/>
    <row r="137" s="227" customFormat="1" ht="12.75"/>
    <row r="138" s="227" customFormat="1" ht="12.75"/>
    <row r="139" s="227" customFormat="1" ht="12.75"/>
    <row r="140" s="227" customFormat="1" ht="12.75"/>
    <row r="141" s="227" customFormat="1" ht="12.75"/>
    <row r="142" s="227" customFormat="1" ht="12.75"/>
    <row r="143" s="227" customFormat="1" ht="12.75"/>
    <row r="144" s="227" customFormat="1" ht="12.75"/>
    <row r="145" s="227" customFormat="1" ht="12.75"/>
    <row r="146" s="227" customFormat="1" ht="12.75"/>
    <row r="147" s="227" customFormat="1" ht="12.75"/>
    <row r="148" s="227" customFormat="1" ht="12.75"/>
    <row r="149" s="227" customFormat="1" ht="12.75"/>
    <row r="150" s="227" customFormat="1" ht="12.75"/>
    <row r="151" s="227" customFormat="1" ht="12.75"/>
    <row r="152" s="227" customFormat="1" ht="12.75"/>
    <row r="153" s="227" customFormat="1" ht="12.75"/>
    <row r="154" s="227" customFormat="1" ht="12.75"/>
    <row r="155" s="227" customFormat="1" ht="12.75"/>
    <row r="156" s="227" customFormat="1" ht="12.75"/>
    <row r="157" s="227" customFormat="1" ht="12.75"/>
    <row r="158" s="227" customFormat="1" ht="12.75"/>
    <row r="159" s="227" customFormat="1" ht="12.75"/>
    <row r="160" s="227" customFormat="1" ht="12.75"/>
    <row r="161" s="227" customFormat="1" ht="12.75"/>
    <row r="162" s="227" customFormat="1" ht="12.75"/>
    <row r="163" s="227" customFormat="1" ht="12.75"/>
    <row r="164" s="227" customFormat="1" ht="12.75"/>
    <row r="165" s="227" customFormat="1" ht="12.75"/>
    <row r="166" s="227" customFormat="1" ht="12.75"/>
    <row r="167" s="227" customFormat="1" ht="12.75"/>
    <row r="168" s="227" customFormat="1" ht="12.75"/>
    <row r="169" s="227" customFormat="1" ht="12.75"/>
    <row r="170" s="227" customFormat="1" ht="12.75"/>
    <row r="171" s="227" customFormat="1" ht="12.75"/>
    <row r="172" s="227" customFormat="1" ht="12.75"/>
    <row r="173" s="227" customFormat="1" ht="12.75"/>
    <row r="174" s="227" customFormat="1" ht="12.75"/>
    <row r="175" s="227" customFormat="1" ht="12.75"/>
    <row r="176" s="227" customFormat="1" ht="12.75"/>
    <row r="177" s="227" customFormat="1" ht="12.75"/>
    <row r="178" s="227" customFormat="1" ht="12.75"/>
    <row r="179" s="227" customFormat="1" ht="12.75"/>
    <row r="180" s="227" customFormat="1" ht="12.75"/>
    <row r="181" s="227" customFormat="1" ht="12.75"/>
    <row r="182" s="227" customFormat="1" ht="12.75"/>
    <row r="183" s="227" customFormat="1" ht="12.75"/>
    <row r="184" s="227" customFormat="1" ht="12.75"/>
    <row r="185" s="227" customFormat="1" ht="12.75"/>
    <row r="186" s="227" customFormat="1" ht="12.75"/>
    <row r="187" s="227" customFormat="1" ht="12.75"/>
    <row r="188" s="227" customFormat="1" ht="12.75"/>
    <row r="189" s="227" customFormat="1" ht="12.75"/>
    <row r="190" s="227" customFormat="1" ht="12.75"/>
    <row r="191" s="227" customFormat="1" ht="12.75"/>
    <row r="192" s="227" customFormat="1" ht="12.75"/>
    <row r="193" s="227" customFormat="1" ht="12.75"/>
    <row r="194" s="227" customFormat="1" ht="12.75"/>
    <row r="195" s="227" customFormat="1" ht="12.75"/>
    <row r="196" s="227" customFormat="1" ht="12.75"/>
    <row r="197" s="227" customFormat="1" ht="12.75"/>
    <row r="198" s="227" customFormat="1" ht="12.75"/>
    <row r="199" s="227" customFormat="1" ht="12.75"/>
    <row r="200" s="227" customFormat="1" ht="12.75"/>
    <row r="201" s="227" customFormat="1" ht="12.75"/>
    <row r="202" s="227" customFormat="1" ht="12.75"/>
    <row r="203" s="227" customFormat="1" ht="12.75"/>
    <row r="204" s="227" customFormat="1" ht="12.75"/>
    <row r="205" s="227" customFormat="1" ht="12.75"/>
    <row r="206" s="227" customFormat="1" ht="12.75"/>
    <row r="207" s="227" customFormat="1" ht="12.75"/>
    <row r="208" s="227" customFormat="1" ht="12.75"/>
    <row r="209" s="227" customFormat="1" ht="12.75"/>
    <row r="210" s="227" customFormat="1" ht="12.75"/>
    <row r="211" s="227" customFormat="1" ht="12.75"/>
    <row r="212" s="227" customFormat="1" ht="12.75"/>
    <row r="213" s="227" customFormat="1" ht="12.75"/>
    <row r="214" s="227" customFormat="1" ht="12.75"/>
    <row r="215" s="227" customFormat="1" ht="12.75"/>
    <row r="216" s="227" customFormat="1" ht="12.75"/>
    <row r="217" s="227" customFormat="1" ht="12.75"/>
    <row r="218" s="227" customFormat="1" ht="12.75"/>
    <row r="219" s="227" customFormat="1" ht="12.75"/>
    <row r="220" s="227" customFormat="1" ht="12.75"/>
    <row r="221" s="227" customFormat="1" ht="12.75"/>
    <row r="222" s="227" customFormat="1" ht="12.75"/>
    <row r="223" s="227" customFormat="1" ht="12.75"/>
    <row r="224" s="227" customFormat="1" ht="12.75"/>
    <row r="225" s="227" customFormat="1" ht="12.75"/>
    <row r="226" s="227" customFormat="1" ht="12.75"/>
    <row r="227" s="227" customFormat="1" ht="12.75"/>
    <row r="228" s="227" customFormat="1" ht="12.75"/>
    <row r="229" s="227" customFormat="1" ht="12.75"/>
    <row r="230" s="227" customFormat="1" ht="12.75"/>
    <row r="231" s="227" customFormat="1" ht="12.75"/>
    <row r="232" s="227" customFormat="1" ht="12.75"/>
    <row r="233" s="227" customFormat="1" ht="12.75"/>
    <row r="234" s="227" customFormat="1" ht="12.75"/>
    <row r="235" s="227" customFormat="1" ht="12.75"/>
    <row r="236" s="227" customFormat="1" ht="12.75"/>
    <row r="237" s="227" customFormat="1" ht="12.75"/>
    <row r="238" s="227" customFormat="1" ht="12.75"/>
    <row r="239" s="227" customFormat="1" ht="12.75"/>
    <row r="240" s="227" customFormat="1" ht="12.75"/>
    <row r="241" s="227" customFormat="1" ht="12.75"/>
    <row r="242" s="227" customFormat="1" ht="12.75"/>
    <row r="243" s="227" customFormat="1" ht="12.75"/>
    <row r="244" s="227" customFormat="1" ht="12.75"/>
    <row r="245" s="227" customFormat="1" ht="12.75"/>
    <row r="246" s="227" customFormat="1" ht="12.75"/>
    <row r="247" s="227" customFormat="1" ht="12.75"/>
    <row r="248" s="227" customFormat="1" ht="12.75"/>
    <row r="249" s="227" customFormat="1" ht="12.75"/>
    <row r="250" s="227" customFormat="1" ht="12.75"/>
    <row r="251" s="227" customFormat="1" ht="12.75"/>
    <row r="252" s="227" customFormat="1" ht="12.75"/>
    <row r="253" s="227" customFormat="1" ht="12.75"/>
    <row r="254" s="227" customFormat="1" ht="12.75"/>
    <row r="255" s="227" customFormat="1" ht="12.75"/>
    <row r="256" s="227" customFormat="1" ht="12.75"/>
    <row r="257" s="227" customFormat="1" ht="12.75"/>
    <row r="258" s="227" customFormat="1" ht="12.75"/>
    <row r="259" s="227" customFormat="1" ht="12.75"/>
    <row r="260" s="227" customFormat="1" ht="12.75"/>
    <row r="261" s="227" customFormat="1" ht="12.75"/>
    <row r="262" s="227" customFormat="1" ht="12.75"/>
    <row r="263" s="227" customFormat="1" ht="12.75"/>
    <row r="264" s="227" customFormat="1" ht="12.75"/>
    <row r="265" s="227" customFormat="1" ht="12.75"/>
    <row r="266" s="227" customFormat="1" ht="12.75"/>
    <row r="267" s="227" customFormat="1" ht="12.75"/>
    <row r="268" s="227" customFormat="1" ht="12.75"/>
    <row r="269" s="227" customFormat="1" ht="12.75"/>
    <row r="270" s="227" customFormat="1" ht="12.75"/>
    <row r="271" s="227" customFormat="1" ht="12.75"/>
    <row r="272" s="227" customFormat="1" ht="12.75"/>
    <row r="273" s="227" customFormat="1" ht="12.75"/>
    <row r="274" s="227" customFormat="1" ht="12.75"/>
    <row r="275" s="227" customFormat="1" ht="12.75"/>
    <row r="276" s="227" customFormat="1" ht="12.75"/>
    <row r="277" s="227" customFormat="1" ht="12.75"/>
    <row r="278" s="227" customFormat="1" ht="12.75"/>
    <row r="279" s="227" customFormat="1" ht="12.75"/>
    <row r="280" s="227" customFormat="1" ht="12.75"/>
    <row r="281" s="227" customFormat="1" ht="12.75"/>
    <row r="282" s="227" customFormat="1" ht="12.75"/>
    <row r="283" s="227" customFormat="1" ht="12.75"/>
    <row r="284" s="227" customFormat="1" ht="12.75"/>
    <row r="285" s="227" customFormat="1" ht="12.75"/>
    <row r="286" s="227" customFormat="1" ht="12.75"/>
    <row r="287" s="227" customFormat="1" ht="12.75"/>
    <row r="288" s="227" customFormat="1" ht="12.75"/>
    <row r="289" s="227" customFormat="1" ht="12.75"/>
  </sheetData>
  <sheetProtection sheet="1"/>
  <printOptions/>
  <pageMargins left="0.75" right="0.75" top="1" bottom="1" header="0.5" footer="0.5"/>
  <pageSetup fitToHeight="1" fitToWidth="1" horizontalDpi="600" verticalDpi="600" orientation="landscape" scale="64"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X36" sqref="X36:X42"/>
    </sheetView>
  </sheetViews>
  <sheetFormatPr defaultColWidth="8.00390625" defaultRowHeight="14.25"/>
  <cols>
    <col min="1" max="1" width="22.75390625" style="203" customWidth="1"/>
    <col min="2" max="2" width="11.125" style="203" customWidth="1"/>
    <col min="3" max="3" width="11.625" style="203" customWidth="1"/>
    <col min="4" max="4" width="11.625" style="249" customWidth="1"/>
    <col min="5" max="5" width="1.25" style="203" customWidth="1"/>
    <col min="6" max="6" width="11.375" style="203" customWidth="1"/>
    <col min="7" max="7" width="11.875" style="203" customWidth="1"/>
    <col min="8" max="8" width="11.50390625" style="203" customWidth="1"/>
    <col min="9" max="9" width="1.25" style="203" customWidth="1"/>
    <col min="10" max="10" width="11.50390625" style="203" customWidth="1"/>
    <col min="11" max="11" width="11.375" style="203" customWidth="1"/>
    <col min="12" max="12" width="11.00390625" style="203" customWidth="1"/>
    <col min="13" max="13" width="2.00390625" style="227" customWidth="1"/>
    <col min="14" max="14" width="11.00390625" style="227" customWidth="1"/>
    <col min="15" max="15" width="10.75390625" style="227" customWidth="1"/>
    <col min="16" max="16" width="11.25390625" style="227" customWidth="1"/>
    <col min="17" max="17" width="1.75390625" style="203" customWidth="1"/>
    <col min="18" max="20" width="11.125" style="203" customWidth="1"/>
    <col min="21" max="21" width="2.375" style="203" customWidth="1"/>
    <col min="22" max="22" width="11.125" style="203" customWidth="1"/>
    <col min="23" max="23" width="11.00390625" style="203" customWidth="1"/>
    <col min="24" max="24" width="11.125" style="203" customWidth="1"/>
    <col min="25" max="25" width="2.50390625" style="203" customWidth="1"/>
    <col min="26" max="16384" width="8.00390625" style="203" customWidth="1"/>
  </cols>
  <sheetData>
    <row r="1" spans="1:25" ht="45" customHeight="1">
      <c r="A1" s="810" t="s">
        <v>153</v>
      </c>
      <c r="B1" s="811"/>
      <c r="C1" s="811"/>
      <c r="D1" s="812"/>
      <c r="E1" s="812"/>
      <c r="F1" s="812"/>
      <c r="G1" s="812"/>
      <c r="H1" s="812"/>
      <c r="I1" s="812"/>
      <c r="J1" s="812"/>
      <c r="K1" s="812"/>
      <c r="L1" s="812"/>
      <c r="M1" s="202"/>
      <c r="N1" s="202"/>
      <c r="O1" s="202"/>
      <c r="P1" s="202"/>
      <c r="Q1" s="202"/>
      <c r="R1" s="202"/>
      <c r="S1" s="202"/>
      <c r="T1" s="202"/>
      <c r="U1" s="202"/>
      <c r="V1" s="202"/>
      <c r="W1" s="202"/>
      <c r="X1" s="202"/>
      <c r="Y1" s="202"/>
    </row>
    <row r="2" spans="1:25" ht="12.75">
      <c r="A2" s="809" t="s">
        <v>145</v>
      </c>
      <c r="B2" s="809"/>
      <c r="C2" s="809"/>
      <c r="D2" s="211"/>
      <c r="E2" s="202"/>
      <c r="F2" s="208"/>
      <c r="G2" s="208"/>
      <c r="H2" s="208"/>
      <c r="I2" s="208"/>
      <c r="J2" s="208"/>
      <c r="K2" s="208"/>
      <c r="L2" s="208"/>
      <c r="M2" s="202"/>
      <c r="N2" s="208"/>
      <c r="O2" s="208"/>
      <c r="P2" s="208"/>
      <c r="Q2" s="202"/>
      <c r="R2" s="208"/>
      <c r="S2" s="208"/>
      <c r="T2" s="208"/>
      <c r="U2" s="202"/>
      <c r="V2" s="208"/>
      <c r="W2" s="208"/>
      <c r="X2" s="208"/>
      <c r="Y2" s="202"/>
    </row>
    <row r="3" spans="1:25" ht="15">
      <c r="A3" s="231"/>
      <c r="B3" s="232" t="s">
        <v>146</v>
      </c>
      <c r="C3" s="813" t="str">
        <f>Crops!B10</f>
        <v>Potatoes: No-Storage</v>
      </c>
      <c r="D3" s="814"/>
      <c r="E3" s="233"/>
      <c r="F3" s="230" t="s">
        <v>147</v>
      </c>
      <c r="G3" s="815" t="str">
        <f>Crops!C10</f>
        <v>Hard Red Spring Wheat</v>
      </c>
      <c r="H3" s="815"/>
      <c r="I3" s="234"/>
      <c r="J3" s="230" t="s">
        <v>148</v>
      </c>
      <c r="K3" s="808" t="str">
        <f>Crops!D10</f>
        <v>Soft White Winter Wheat</v>
      </c>
      <c r="L3" s="808"/>
      <c r="M3" s="233"/>
      <c r="N3" s="230" t="s">
        <v>268</v>
      </c>
      <c r="O3" s="808" t="str">
        <f>Crops!E10</f>
        <v>Malting Barley</v>
      </c>
      <c r="P3" s="808"/>
      <c r="Q3" s="233"/>
      <c r="R3" s="230" t="s">
        <v>269</v>
      </c>
      <c r="S3" s="808" t="str">
        <f>Crops!F10</f>
        <v>Field Corn </v>
      </c>
      <c r="T3" s="808"/>
      <c r="U3" s="233"/>
      <c r="V3" s="230" t="s">
        <v>275</v>
      </c>
      <c r="W3" s="808" t="str">
        <f>Crops!G10</f>
        <v>Sugarbeets</v>
      </c>
      <c r="X3" s="808"/>
      <c r="Y3" s="233"/>
    </row>
    <row r="4" spans="1:25" ht="12.75">
      <c r="A4" s="202"/>
      <c r="B4" s="214" t="s">
        <v>115</v>
      </c>
      <c r="C4" s="214" t="s">
        <v>29</v>
      </c>
      <c r="D4" s="214" t="s">
        <v>149</v>
      </c>
      <c r="E4" s="233"/>
      <c r="F4" s="214" t="s">
        <v>115</v>
      </c>
      <c r="G4" s="214" t="s">
        <v>29</v>
      </c>
      <c r="H4" s="214" t="s">
        <v>149</v>
      </c>
      <c r="I4" s="233"/>
      <c r="J4" s="214" t="s">
        <v>115</v>
      </c>
      <c r="K4" s="214" t="s">
        <v>29</v>
      </c>
      <c r="L4" s="214" t="s">
        <v>149</v>
      </c>
      <c r="M4" s="233"/>
      <c r="N4" s="214" t="s">
        <v>115</v>
      </c>
      <c r="O4" s="214" t="s">
        <v>29</v>
      </c>
      <c r="P4" s="214" t="s">
        <v>149</v>
      </c>
      <c r="Q4" s="233"/>
      <c r="R4" s="214" t="s">
        <v>115</v>
      </c>
      <c r="S4" s="214" t="s">
        <v>29</v>
      </c>
      <c r="T4" s="214" t="s">
        <v>149</v>
      </c>
      <c r="U4" s="233"/>
      <c r="V4" s="214" t="s">
        <v>115</v>
      </c>
      <c r="W4" s="214" t="s">
        <v>29</v>
      </c>
      <c r="X4" s="214" t="s">
        <v>149</v>
      </c>
      <c r="Y4" s="233"/>
    </row>
    <row r="5" spans="1:25" ht="12.75">
      <c r="A5" s="202"/>
      <c r="B5" s="214" t="s">
        <v>32</v>
      </c>
      <c r="C5" s="214" t="s">
        <v>32</v>
      </c>
      <c r="D5" s="214" t="s">
        <v>150</v>
      </c>
      <c r="E5" s="233"/>
      <c r="F5" s="214" t="s">
        <v>32</v>
      </c>
      <c r="G5" s="214" t="s">
        <v>32</v>
      </c>
      <c r="H5" s="214" t="s">
        <v>150</v>
      </c>
      <c r="I5" s="233"/>
      <c r="J5" s="214" t="s">
        <v>32</v>
      </c>
      <c r="K5" s="214" t="s">
        <v>32</v>
      </c>
      <c r="L5" s="214" t="s">
        <v>150</v>
      </c>
      <c r="M5" s="233"/>
      <c r="N5" s="214" t="s">
        <v>32</v>
      </c>
      <c r="O5" s="214" t="s">
        <v>32</v>
      </c>
      <c r="P5" s="214" t="s">
        <v>150</v>
      </c>
      <c r="Q5" s="233"/>
      <c r="R5" s="214" t="s">
        <v>32</v>
      </c>
      <c r="S5" s="214" t="s">
        <v>32</v>
      </c>
      <c r="T5" s="214" t="s">
        <v>150</v>
      </c>
      <c r="U5" s="233"/>
      <c r="V5" s="214" t="s">
        <v>32</v>
      </c>
      <c r="W5" s="214" t="s">
        <v>32</v>
      </c>
      <c r="X5" s="214" t="s">
        <v>150</v>
      </c>
      <c r="Y5" s="233"/>
    </row>
    <row r="6" spans="1:25" ht="12.75">
      <c r="A6" s="208" t="s">
        <v>122</v>
      </c>
      <c r="B6" s="211" t="s">
        <v>125</v>
      </c>
      <c r="C6" s="211" t="s">
        <v>125</v>
      </c>
      <c r="D6" s="211" t="s">
        <v>125</v>
      </c>
      <c r="E6" s="233"/>
      <c r="F6" s="211" t="s">
        <v>125</v>
      </c>
      <c r="G6" s="211" t="s">
        <v>125</v>
      </c>
      <c r="H6" s="211" t="s">
        <v>125</v>
      </c>
      <c r="I6" s="233"/>
      <c r="J6" s="211" t="s">
        <v>125</v>
      </c>
      <c r="K6" s="211" t="s">
        <v>125</v>
      </c>
      <c r="L6" s="211" t="s">
        <v>125</v>
      </c>
      <c r="M6" s="233"/>
      <c r="N6" s="211" t="s">
        <v>125</v>
      </c>
      <c r="O6" s="211" t="s">
        <v>125</v>
      </c>
      <c r="P6" s="211" t="s">
        <v>125</v>
      </c>
      <c r="Q6" s="233"/>
      <c r="R6" s="211" t="s">
        <v>125</v>
      </c>
      <c r="S6" s="211" t="s">
        <v>125</v>
      </c>
      <c r="T6" s="211" t="s">
        <v>125</v>
      </c>
      <c r="U6" s="233"/>
      <c r="V6" s="211" t="s">
        <v>125</v>
      </c>
      <c r="W6" s="211" t="s">
        <v>125</v>
      </c>
      <c r="X6" s="211" t="s">
        <v>125</v>
      </c>
      <c r="Y6" s="233"/>
    </row>
    <row r="7" spans="1:25" ht="5.25" customHeight="1">
      <c r="A7" s="216"/>
      <c r="B7" s="217"/>
      <c r="C7" s="217"/>
      <c r="D7" s="214"/>
      <c r="E7" s="233"/>
      <c r="F7" s="202"/>
      <c r="G7" s="202"/>
      <c r="H7" s="202" t="s">
        <v>274</v>
      </c>
      <c r="I7" s="233"/>
      <c r="J7" s="202"/>
      <c r="K7" s="202"/>
      <c r="L7" s="202"/>
      <c r="M7" s="233"/>
      <c r="N7" s="202"/>
      <c r="O7" s="202"/>
      <c r="P7" s="202"/>
      <c r="Q7" s="233"/>
      <c r="R7" s="202"/>
      <c r="S7" s="202"/>
      <c r="T7" s="202"/>
      <c r="U7" s="233"/>
      <c r="V7" s="202"/>
      <c r="W7" s="202"/>
      <c r="X7" s="202"/>
      <c r="Y7" s="233"/>
    </row>
    <row r="8" spans="1:25" ht="12.75">
      <c r="A8" s="235" t="str">
        <f>IF(Mach_Input!A8="","",Mach_Input!A8)</f>
        <v>Tractor - 250 hp</v>
      </c>
      <c r="B8" s="236">
        <f>IF(Mach_Input!G8="","",Mach_Input!$B8*Mach_Input!J8)</f>
        <v>42500</v>
      </c>
      <c r="C8" s="236">
        <f>IF(Mach_Input!G8="","",Mach_Input!$G8*Mach_Input!J8)</f>
        <v>48333.33333333333</v>
      </c>
      <c r="D8" s="236">
        <f>IF(Mach_Input!G8="","",Mach_Input!$H8*Mach_Input!J8)</f>
        <v>3833.3333333333335</v>
      </c>
      <c r="E8" s="233"/>
      <c r="F8" s="236">
        <f>IF(Mach_Input!G8="","",Mach_Input!$B8*Mach_Input!L8)</f>
        <v>21250</v>
      </c>
      <c r="G8" s="236">
        <f>IF(Mach_Input!G8="","",Mach_Input!$G8*Mach_Input!L8)</f>
        <v>24166.666666666664</v>
      </c>
      <c r="H8" s="236">
        <f>IF(Mach_Input!G8="","",Mach_Input!$H8*Mach_Input!L8)</f>
        <v>1916.6666666666667</v>
      </c>
      <c r="I8" s="233"/>
      <c r="J8" s="236">
        <f>IF(Mach_Input!G8="","",Mach_Input!$B8*Mach_Input!N8)</f>
        <v>21250</v>
      </c>
      <c r="K8" s="236">
        <f>IF(Mach_Input!G8="","",Mach_Input!$G8*Mach_Input!N8)</f>
        <v>24166.666666666664</v>
      </c>
      <c r="L8" s="236">
        <f>IF(Mach_Input!G8="","",Mach_Input!$H8*Mach_Input!N8)</f>
        <v>1916.6666666666667</v>
      </c>
      <c r="M8" s="233"/>
      <c r="N8" s="519">
        <f>IF(Mach_Input!G8="","",Mach_Input!$B8*Mach_Input!P8)</f>
        <v>0</v>
      </c>
      <c r="O8" s="236">
        <f>IF(Mach_Input!G8="","",Mach_Input!$G8*Mach_Input!P8)</f>
        <v>0</v>
      </c>
      <c r="P8" s="236">
        <f>IF(Mach_Input!G8="","",Mach_Input!$H8*Mach_Input!P8)</f>
        <v>0</v>
      </c>
      <c r="Q8" s="233"/>
      <c r="R8" s="519">
        <f>IF(Mach_Input!G8="","",Mach_Input!$B8*Mach_Input!R8)</f>
        <v>0</v>
      </c>
      <c r="S8" s="236">
        <f>IF(Mach_Input!G8="","",Mach_Input!$G8*Mach_Input!R8)</f>
        <v>0</v>
      </c>
      <c r="T8" s="236">
        <f>IF(Mach_Input!G8="","",Mach_Input!$H8*Mach_Input!R8)</f>
        <v>0</v>
      </c>
      <c r="U8" s="233"/>
      <c r="V8" s="519">
        <f>IF(Mach_Input!G8="","",Mach_Input!$B8*Mach_Input!T8)</f>
        <v>0</v>
      </c>
      <c r="W8" s="236">
        <f>IF(Mach_Input!G8="","",Mach_Input!$G8*Mach_Input!T8)</f>
        <v>0</v>
      </c>
      <c r="X8" s="236">
        <f>IF(Mach_Input!G8="","",Mach_Input!$H8*Mach_Input!T8)</f>
        <v>0</v>
      </c>
      <c r="Y8" s="233"/>
    </row>
    <row r="9" spans="1:25" ht="12.75">
      <c r="A9" s="235" t="str">
        <f>IF(Mach_Input!A9="","",Mach_Input!A9)</f>
        <v>Tractor - 200 hp</v>
      </c>
      <c r="B9" s="236">
        <f>IF(Mach_Input!G9="","",Mach_Input!$B9*Mach_Input!J9)</f>
        <v>28000</v>
      </c>
      <c r="C9" s="236">
        <f>IF(Mach_Input!G9="","",Mach_Input!$G9*Mach_Input!J9)</f>
        <v>29466.66666666667</v>
      </c>
      <c r="D9" s="236">
        <f>IF(Mach_Input!G9="","",Mach_Input!$H9*Mach_Input!J9)</f>
        <v>2933.3333333333335</v>
      </c>
      <c r="E9" s="233"/>
      <c r="F9" s="236">
        <f>IF(Mach_Input!G9="","",Mach_Input!$B9*Mach_Input!L9)</f>
        <v>21000</v>
      </c>
      <c r="G9" s="236">
        <f>IF(Mach_Input!G9="","",Mach_Input!$G9*Mach_Input!L9)</f>
        <v>22100</v>
      </c>
      <c r="H9" s="236">
        <f>IF(Mach_Input!G9="","",Mach_Input!$H9*Mach_Input!L9)</f>
        <v>2200</v>
      </c>
      <c r="I9" s="233"/>
      <c r="J9" s="236">
        <f>IF(Mach_Input!G9="","",Mach_Input!$B9*Mach_Input!N9)</f>
        <v>21000</v>
      </c>
      <c r="K9" s="236">
        <f>IF(Mach_Input!G9="","",Mach_Input!$G9*Mach_Input!N9)</f>
        <v>22100</v>
      </c>
      <c r="L9" s="236">
        <f>IF(Mach_Input!G9="","",Mach_Input!$H9*Mach_Input!N9)</f>
        <v>2200</v>
      </c>
      <c r="M9" s="233"/>
      <c r="N9" s="519">
        <f>IF(Mach_Input!G9="","",Mach_Input!$B9*Mach_Input!P9)</f>
        <v>0</v>
      </c>
      <c r="O9" s="236">
        <f>IF(Mach_Input!G9="","",Mach_Input!$G9*Mach_Input!P9)</f>
        <v>0</v>
      </c>
      <c r="P9" s="236">
        <f>IF(Mach_Input!G9="","",Mach_Input!$H9*Mach_Input!P9)</f>
        <v>0</v>
      </c>
      <c r="Q9" s="233"/>
      <c r="R9" s="519">
        <f>IF(Mach_Input!G9="","",Mach_Input!$B9*Mach_Input!R9)</f>
        <v>0</v>
      </c>
      <c r="S9" s="236">
        <f>IF(Mach_Input!G9="","",Mach_Input!$G9*Mach_Input!R9)</f>
        <v>0</v>
      </c>
      <c r="T9" s="236">
        <f>IF(Mach_Input!G9="","",Mach_Input!$H9*Mach_Input!R9)</f>
        <v>0</v>
      </c>
      <c r="U9" s="233"/>
      <c r="V9" s="519">
        <f>IF(Mach_Input!G9="","",Mach_Input!$B9*Mach_Input!T9)</f>
        <v>0</v>
      </c>
      <c r="W9" s="236">
        <f>IF(Mach_Input!G9="","",Mach_Input!$G9*Mach_Input!T9)</f>
        <v>0</v>
      </c>
      <c r="X9" s="236">
        <f>IF(Mach_Input!G9="","",Mach_Input!$H9*Mach_Input!T9)</f>
        <v>0</v>
      </c>
      <c r="Y9" s="233"/>
    </row>
    <row r="10" spans="1:25" ht="12.75">
      <c r="A10" s="235" t="str">
        <f>IF(Mach_Input!A10="","",Mach_Input!A10)</f>
        <v>Tractor - 200 hp</v>
      </c>
      <c r="B10" s="236">
        <f>IF(Mach_Input!G10="","",Mach_Input!$B10*Mach_Input!J10)</f>
        <v>29250</v>
      </c>
      <c r="C10" s="236">
        <f>IF(Mach_Input!G10="","",Mach_Input!$G10*Mach_Input!J10)</f>
        <v>28800</v>
      </c>
      <c r="D10" s="236">
        <f>IF(Mach_Input!G10="","",Mach_Input!$H10*Mach_Input!J10)</f>
        <v>3150</v>
      </c>
      <c r="E10" s="233"/>
      <c r="F10" s="236">
        <f>IF(Mach_Input!G10="","",Mach_Input!$B10*Mach_Input!L10)</f>
        <v>19500</v>
      </c>
      <c r="G10" s="236">
        <f>IF(Mach_Input!G10="","",Mach_Input!$G10*Mach_Input!L10)</f>
        <v>19200</v>
      </c>
      <c r="H10" s="236">
        <f>IF(Mach_Input!G10="","",Mach_Input!$H10*Mach_Input!L10)</f>
        <v>2100</v>
      </c>
      <c r="I10" s="233"/>
      <c r="J10" s="236">
        <f>IF(Mach_Input!G10="","",Mach_Input!$B10*Mach_Input!N10)</f>
        <v>16250</v>
      </c>
      <c r="K10" s="236">
        <f>IF(Mach_Input!G10="","",Mach_Input!$G10*Mach_Input!N10)</f>
        <v>16000</v>
      </c>
      <c r="L10" s="236">
        <f>IF(Mach_Input!G10="","",Mach_Input!$H10*Mach_Input!N10)</f>
        <v>1750</v>
      </c>
      <c r="M10" s="233"/>
      <c r="N10" s="519">
        <f>IF(Mach_Input!G10="","",Mach_Input!$B10*Mach_Input!P10)</f>
        <v>0</v>
      </c>
      <c r="O10" s="236">
        <f>IF(Mach_Input!G10="","",Mach_Input!$G10*Mach_Input!P10)</f>
        <v>0</v>
      </c>
      <c r="P10" s="236">
        <f>IF(Mach_Input!G10="","",Mach_Input!$H10*Mach_Input!P10)</f>
        <v>0</v>
      </c>
      <c r="Q10" s="233"/>
      <c r="R10" s="519">
        <f>IF(Mach_Input!G10="","",Mach_Input!$B10*Mach_Input!R10)</f>
        <v>0</v>
      </c>
      <c r="S10" s="236">
        <f>IF(Mach_Input!G10="","",Mach_Input!$G10*Mach_Input!R10)</f>
        <v>0</v>
      </c>
      <c r="T10" s="236">
        <f>IF(Mach_Input!G10="","",Mach_Input!$H10*Mach_Input!R10)</f>
        <v>0</v>
      </c>
      <c r="U10" s="233"/>
      <c r="V10" s="519">
        <f>IF(Mach_Input!G10="","",Mach_Input!$B10*Mach_Input!T10)</f>
        <v>0</v>
      </c>
      <c r="W10" s="236">
        <f>IF(Mach_Input!G10="","",Mach_Input!$G10*Mach_Input!T10)</f>
        <v>0</v>
      </c>
      <c r="X10" s="236">
        <f>IF(Mach_Input!G10="","",Mach_Input!$H10*Mach_Input!T10)</f>
        <v>0</v>
      </c>
      <c r="Y10" s="233"/>
    </row>
    <row r="11" spans="1:25" ht="12.75">
      <c r="A11" s="235" t="str">
        <f>IF(Mach_Input!A11="","",Mach_Input!A11)</f>
        <v>Tandem Disk</v>
      </c>
      <c r="B11" s="236">
        <f>IF(Mach_Input!G11="","",Mach_Input!$B11*Mach_Input!J11)</f>
        <v>4200</v>
      </c>
      <c r="C11" s="236">
        <f>IF(Mach_Input!G11="","",Mach_Input!$G11*Mach_Input!J11)</f>
        <v>4024.9999999999995</v>
      </c>
      <c r="D11" s="236">
        <f>IF(Mach_Input!G11="","",Mach_Input!$H11*Mach_Input!J11)</f>
        <v>495.8333333333333</v>
      </c>
      <c r="E11" s="233"/>
      <c r="F11" s="236">
        <f>IF(Mach_Input!G11="","",Mach_Input!$B11*Mach_Input!L11)</f>
        <v>4200</v>
      </c>
      <c r="G11" s="236">
        <f>IF(Mach_Input!G11="","",Mach_Input!$G11*Mach_Input!L11)</f>
        <v>4024.9999999999995</v>
      </c>
      <c r="H11" s="236">
        <f>IF(Mach_Input!G11="","",Mach_Input!$H11*Mach_Input!L11)</f>
        <v>495.8333333333333</v>
      </c>
      <c r="I11" s="233"/>
      <c r="J11" s="236">
        <f>IF(Mach_Input!G11="","",Mach_Input!$B11*Mach_Input!N11)</f>
        <v>3600</v>
      </c>
      <c r="K11" s="236">
        <f>IF(Mach_Input!G11="","",Mach_Input!$G11*Mach_Input!N11)</f>
        <v>3450</v>
      </c>
      <c r="L11" s="236">
        <f>IF(Mach_Input!G11="","",Mach_Input!$H11*Mach_Input!N11)</f>
        <v>425</v>
      </c>
      <c r="M11" s="233"/>
      <c r="N11" s="519">
        <f>IF(Mach_Input!G11="","",Mach_Input!$B11*Mach_Input!P11)</f>
        <v>0</v>
      </c>
      <c r="O11" s="236">
        <f>IF(Mach_Input!G11="","",Mach_Input!$G11*Mach_Input!P11)</f>
        <v>0</v>
      </c>
      <c r="P11" s="236">
        <f>IF(Mach_Input!G11="","",Mach_Input!$H11*Mach_Input!P11)</f>
        <v>0</v>
      </c>
      <c r="Q11" s="233"/>
      <c r="R11" s="519">
        <f>IF(Mach_Input!G11="","",Mach_Input!$B11*Mach_Input!R11)</f>
        <v>0</v>
      </c>
      <c r="S11" s="236">
        <f>IF(Mach_Input!G11="","",Mach_Input!$G11*Mach_Input!R11)</f>
        <v>0</v>
      </c>
      <c r="T11" s="236">
        <f>IF(Mach_Input!G11="","",Mach_Input!$H11*Mach_Input!R11)</f>
        <v>0</v>
      </c>
      <c r="U11" s="233"/>
      <c r="V11" s="519">
        <f>IF(Mach_Input!G11="","",Mach_Input!$B11*Mach_Input!T11)</f>
        <v>0</v>
      </c>
      <c r="W11" s="236">
        <f>IF(Mach_Input!G11="","",Mach_Input!$G11*Mach_Input!T11)</f>
        <v>0</v>
      </c>
      <c r="X11" s="236">
        <f>IF(Mach_Input!G11="","",Mach_Input!$H11*Mach_Input!T11)</f>
        <v>0</v>
      </c>
      <c r="Y11" s="233"/>
    </row>
    <row r="12" spans="1:25" ht="12.75">
      <c r="A12" s="235" t="str">
        <f>IF(Mach_Input!A12="","",Mach_Input!A12)</f>
        <v>Chisel Plow</v>
      </c>
      <c r="B12" s="236">
        <f>IF(Mach_Input!G12="","",Mach_Input!$B12*Mach_Input!J12)</f>
        <v>1875</v>
      </c>
      <c r="C12" s="236">
        <f>IF(Mach_Input!G12="","",Mach_Input!$G12*Mach_Input!J12)</f>
        <v>2175</v>
      </c>
      <c r="D12" s="236">
        <f>IF(Mach_Input!G12="","",Mach_Input!$H12*Mach_Input!J12)</f>
        <v>225</v>
      </c>
      <c r="E12" s="233"/>
      <c r="F12" s="236">
        <f>IF(Mach_Input!G12="","",Mach_Input!$B12*Mach_Input!L12)</f>
        <v>3000</v>
      </c>
      <c r="G12" s="236">
        <f>IF(Mach_Input!G12="","",Mach_Input!$G12*Mach_Input!L12)</f>
        <v>3480</v>
      </c>
      <c r="H12" s="236">
        <f>IF(Mach_Input!G12="","",Mach_Input!$H12*Mach_Input!L12)</f>
        <v>360</v>
      </c>
      <c r="I12" s="233"/>
      <c r="J12" s="236">
        <f>IF(Mach_Input!G12="","",Mach_Input!$B12*Mach_Input!N12)</f>
        <v>0</v>
      </c>
      <c r="K12" s="236">
        <f>IF(Mach_Input!G12="","",Mach_Input!$G12*Mach_Input!N12)</f>
        <v>0</v>
      </c>
      <c r="L12" s="236">
        <f>IF(Mach_Input!G12="","",Mach_Input!$H12*Mach_Input!N12)</f>
        <v>0</v>
      </c>
      <c r="M12" s="233"/>
      <c r="N12" s="519">
        <f>IF(Mach_Input!G12="","",Mach_Input!$B12*Mach_Input!P12)</f>
        <v>0</v>
      </c>
      <c r="O12" s="236">
        <f>IF(Mach_Input!G12="","",Mach_Input!$G12*Mach_Input!P12)</f>
        <v>0</v>
      </c>
      <c r="P12" s="236">
        <f>IF(Mach_Input!G12="","",Mach_Input!$H12*Mach_Input!P12)</f>
        <v>0</v>
      </c>
      <c r="Q12" s="233"/>
      <c r="R12" s="519">
        <f>IF(Mach_Input!G12="","",Mach_Input!$B12*Mach_Input!R12)</f>
        <v>0</v>
      </c>
      <c r="S12" s="236">
        <f>IF(Mach_Input!G12="","",Mach_Input!$G12*Mach_Input!R12)</f>
        <v>0</v>
      </c>
      <c r="T12" s="236">
        <f>IF(Mach_Input!G12="","",Mach_Input!$H12*Mach_Input!R12)</f>
        <v>0</v>
      </c>
      <c r="U12" s="233"/>
      <c r="V12" s="519">
        <f>IF(Mach_Input!G12="","",Mach_Input!$B12*Mach_Input!T12)</f>
        <v>0</v>
      </c>
      <c r="W12" s="236">
        <f>IF(Mach_Input!G12="","",Mach_Input!$G12*Mach_Input!T12)</f>
        <v>0</v>
      </c>
      <c r="X12" s="236">
        <f>IF(Mach_Input!G12="","",Mach_Input!$H12*Mach_Input!T12)</f>
        <v>0</v>
      </c>
      <c r="Y12" s="233"/>
    </row>
    <row r="13" spans="1:25" ht="12.75">
      <c r="A13" s="235" t="str">
        <f>IF(Mach_Input!A13="","",Mach_Input!A13)</f>
        <v>Ripper</v>
      </c>
      <c r="B13" s="236">
        <f>IF(Mach_Input!G13="","",Mach_Input!$B13*Mach_Input!J13)</f>
        <v>4500</v>
      </c>
      <c r="C13" s="236">
        <f>IF(Mach_Input!G13="","",Mach_Input!$G13*Mach_Input!J13)</f>
        <v>4658.333333333334</v>
      </c>
      <c r="D13" s="236">
        <f>IF(Mach_Input!G13="","",Mach_Input!$H13*Mach_Input!J13)</f>
        <v>691.6666666666666</v>
      </c>
      <c r="E13" s="233"/>
      <c r="F13" s="236">
        <f>IF(Mach_Input!G13="","",Mach_Input!$B13*Mach_Input!L13)</f>
        <v>0</v>
      </c>
      <c r="G13" s="236">
        <f>IF(Mach_Input!G13="","",Mach_Input!$G13*Mach_Input!L13)</f>
        <v>0</v>
      </c>
      <c r="H13" s="236">
        <f>IF(Mach_Input!G13="","",Mach_Input!$H13*Mach_Input!L13)</f>
        <v>0</v>
      </c>
      <c r="I13" s="233"/>
      <c r="J13" s="236">
        <f>IF(Mach_Input!G13="","",Mach_Input!$B13*Mach_Input!N13)</f>
        <v>0</v>
      </c>
      <c r="K13" s="236">
        <f>IF(Mach_Input!G13="","",Mach_Input!$G13*Mach_Input!N13)</f>
        <v>0</v>
      </c>
      <c r="L13" s="236">
        <f>IF(Mach_Input!G13="","",Mach_Input!$H13*Mach_Input!N13)</f>
        <v>0</v>
      </c>
      <c r="M13" s="233"/>
      <c r="N13" s="519">
        <f>IF(Mach_Input!G13="","",Mach_Input!$B13*Mach_Input!P13)</f>
        <v>0</v>
      </c>
      <c r="O13" s="236">
        <f>IF(Mach_Input!G13="","",Mach_Input!$G13*Mach_Input!P13)</f>
        <v>0</v>
      </c>
      <c r="P13" s="236">
        <f>IF(Mach_Input!G13="","",Mach_Input!$H13*Mach_Input!P13)</f>
        <v>0</v>
      </c>
      <c r="Q13" s="233"/>
      <c r="R13" s="519">
        <f>IF(Mach_Input!G13="","",Mach_Input!$B13*Mach_Input!R13)</f>
        <v>0</v>
      </c>
      <c r="S13" s="236">
        <f>IF(Mach_Input!G13="","",Mach_Input!$G13*Mach_Input!R13)</f>
        <v>0</v>
      </c>
      <c r="T13" s="236">
        <f>IF(Mach_Input!G13="","",Mach_Input!$H13*Mach_Input!R13)</f>
        <v>0</v>
      </c>
      <c r="U13" s="233"/>
      <c r="V13" s="519">
        <f>IF(Mach_Input!G13="","",Mach_Input!$B13*Mach_Input!T13)</f>
        <v>0</v>
      </c>
      <c r="W13" s="236">
        <f>IF(Mach_Input!G13="","",Mach_Input!$G13*Mach_Input!T13)</f>
        <v>0</v>
      </c>
      <c r="X13" s="236">
        <f>IF(Mach_Input!G13="","",Mach_Input!$H13*Mach_Input!T13)</f>
        <v>0</v>
      </c>
      <c r="Y13" s="233"/>
    </row>
    <row r="14" spans="1:25" ht="12.75">
      <c r="A14" s="235" t="str">
        <f>IF(Mach_Input!A14="","",Mach_Input!A14)</f>
        <v>Potato Planter - 6 Row</v>
      </c>
      <c r="B14" s="236">
        <f>IF(Mach_Input!G14="","",Mach_Input!$B14*Mach_Input!J14)</f>
        <v>24000</v>
      </c>
      <c r="C14" s="236">
        <f>IF(Mach_Input!G14="","",Mach_Input!$G14*Mach_Input!J14)</f>
        <v>27000</v>
      </c>
      <c r="D14" s="236">
        <f>IF(Mach_Input!G14="","",Mach_Input!$H14*Mach_Input!J14)</f>
        <v>2750</v>
      </c>
      <c r="E14" s="233"/>
      <c r="F14" s="236">
        <f>IF(Mach_Input!G14="","",Mach_Input!$B14*Mach_Input!L14)</f>
        <v>0</v>
      </c>
      <c r="G14" s="236">
        <f>IF(Mach_Input!G14="","",Mach_Input!$G14*Mach_Input!L14)</f>
        <v>0</v>
      </c>
      <c r="H14" s="236">
        <f>IF(Mach_Input!G14="","",Mach_Input!$H14*Mach_Input!L14)</f>
        <v>0</v>
      </c>
      <c r="I14" s="233"/>
      <c r="J14" s="236">
        <f>IF(Mach_Input!G14="","",Mach_Input!$B14*Mach_Input!N14)</f>
        <v>0</v>
      </c>
      <c r="K14" s="236">
        <f>IF(Mach_Input!G14="","",Mach_Input!$G14*Mach_Input!N14)</f>
        <v>0</v>
      </c>
      <c r="L14" s="236">
        <f>IF(Mach_Input!G14="","",Mach_Input!$H14*Mach_Input!N14)</f>
        <v>0</v>
      </c>
      <c r="M14" s="233"/>
      <c r="N14" s="519">
        <f>IF(Mach_Input!G14="","",Mach_Input!$B14*Mach_Input!P14)</f>
        <v>0</v>
      </c>
      <c r="O14" s="236">
        <f>IF(Mach_Input!G14="","",Mach_Input!$G14*Mach_Input!P14)</f>
        <v>0</v>
      </c>
      <c r="P14" s="236">
        <f>IF(Mach_Input!G14="","",Mach_Input!$H14*Mach_Input!P14)</f>
        <v>0</v>
      </c>
      <c r="Q14" s="233"/>
      <c r="R14" s="519">
        <f>IF(Mach_Input!G14="","",Mach_Input!$B14*Mach_Input!R14)</f>
        <v>0</v>
      </c>
      <c r="S14" s="236">
        <f>IF(Mach_Input!G14="","",Mach_Input!$G14*Mach_Input!R14)</f>
        <v>0</v>
      </c>
      <c r="T14" s="236">
        <f>IF(Mach_Input!G14="","",Mach_Input!$H14*Mach_Input!R14)</f>
        <v>0</v>
      </c>
      <c r="U14" s="233"/>
      <c r="V14" s="519">
        <f>IF(Mach_Input!G14="","",Mach_Input!$B14*Mach_Input!T14)</f>
        <v>0</v>
      </c>
      <c r="W14" s="236">
        <f>IF(Mach_Input!G14="","",Mach_Input!$G14*Mach_Input!T14)</f>
        <v>0</v>
      </c>
      <c r="X14" s="236">
        <f>IF(Mach_Input!G14="","",Mach_Input!$H14*Mach_Input!T14)</f>
        <v>0</v>
      </c>
      <c r="Y14" s="233"/>
    </row>
    <row r="15" spans="1:25" ht="12.75">
      <c r="A15" s="235" t="str">
        <f>IF(Mach_Input!A15="","",Mach_Input!A15)</f>
        <v>Basin Tillage Tool</v>
      </c>
      <c r="B15" s="236">
        <f>IF(Mach_Input!G15="","",Mach_Input!$B15*Mach_Input!J15)</f>
        <v>18000</v>
      </c>
      <c r="C15" s="236">
        <f>IF(Mach_Input!G15="","",Mach_Input!$G15*Mach_Input!J15)</f>
        <v>17500</v>
      </c>
      <c r="D15" s="236">
        <f>IF(Mach_Input!G15="","",Mach_Input!$H15*Mach_Input!J15)</f>
        <v>1500</v>
      </c>
      <c r="E15" s="233"/>
      <c r="F15" s="236">
        <f>IF(Mach_Input!G15="","",Mach_Input!$B15*Mach_Input!L15)</f>
        <v>0</v>
      </c>
      <c r="G15" s="236">
        <f>IF(Mach_Input!G15="","",Mach_Input!$G15*Mach_Input!L15)</f>
        <v>0</v>
      </c>
      <c r="H15" s="236">
        <f>IF(Mach_Input!G15="","",Mach_Input!$H15*Mach_Input!L15)</f>
        <v>0</v>
      </c>
      <c r="I15" s="233"/>
      <c r="J15" s="236">
        <f>IF(Mach_Input!G15="","",Mach_Input!$B15*Mach_Input!N15)</f>
        <v>0</v>
      </c>
      <c r="K15" s="236">
        <f>IF(Mach_Input!G15="","",Mach_Input!$G15*Mach_Input!N15)</f>
        <v>0</v>
      </c>
      <c r="L15" s="236">
        <f>IF(Mach_Input!G15="","",Mach_Input!$H15*Mach_Input!N15)</f>
        <v>0</v>
      </c>
      <c r="M15" s="233"/>
      <c r="N15" s="519">
        <f>IF(Mach_Input!G15="","",Mach_Input!$B15*Mach_Input!P15)</f>
        <v>0</v>
      </c>
      <c r="O15" s="236">
        <f>IF(Mach_Input!G15="","",Mach_Input!$G15*Mach_Input!P15)</f>
        <v>0</v>
      </c>
      <c r="P15" s="236">
        <f>IF(Mach_Input!G15="","",Mach_Input!$H15*Mach_Input!P15)</f>
        <v>0</v>
      </c>
      <c r="Q15" s="233"/>
      <c r="R15" s="519">
        <f>IF(Mach_Input!G15="","",Mach_Input!$B15*Mach_Input!R15)</f>
        <v>0</v>
      </c>
      <c r="S15" s="236">
        <f>IF(Mach_Input!G15="","",Mach_Input!$G15*Mach_Input!R15)</f>
        <v>0</v>
      </c>
      <c r="T15" s="236">
        <f>IF(Mach_Input!G15="","",Mach_Input!$H15*Mach_Input!R15)</f>
        <v>0</v>
      </c>
      <c r="U15" s="233"/>
      <c r="V15" s="519">
        <f>IF(Mach_Input!G15="","",Mach_Input!$B15*Mach_Input!T15)</f>
        <v>0</v>
      </c>
      <c r="W15" s="236">
        <f>IF(Mach_Input!G15="","",Mach_Input!$G15*Mach_Input!T15)</f>
        <v>0</v>
      </c>
      <c r="X15" s="236">
        <f>IF(Mach_Input!G15="","",Mach_Input!$H15*Mach_Input!T15)</f>
        <v>0</v>
      </c>
      <c r="Y15" s="233"/>
    </row>
    <row r="16" spans="1:25" ht="12.75">
      <c r="A16" s="235" t="str">
        <f>IF(Mach_Input!A16="","",Mach_Input!A16)</f>
        <v>Cultivator</v>
      </c>
      <c r="B16" s="236">
        <f>IF(Mach_Input!G16="","",Mach_Input!$B16*Mach_Input!J16)</f>
        <v>3000</v>
      </c>
      <c r="C16" s="236">
        <f>IF(Mach_Input!G16="","",Mach_Input!$G16*Mach_Input!J16)</f>
        <v>3433.3333333333335</v>
      </c>
      <c r="D16" s="236">
        <f>IF(Mach_Input!G16="","",Mach_Input!$H16*Mach_Input!J16)</f>
        <v>383.3333333333333</v>
      </c>
      <c r="E16" s="233"/>
      <c r="F16" s="236">
        <f>IF(Mach_Input!G16="","",Mach_Input!$B16*Mach_Input!L16)</f>
        <v>0</v>
      </c>
      <c r="G16" s="236">
        <f>IF(Mach_Input!G16="","",Mach_Input!$G16*Mach_Input!L16)</f>
        <v>0</v>
      </c>
      <c r="H16" s="236">
        <f>IF(Mach_Input!G16="","",Mach_Input!$H16*Mach_Input!L16)</f>
        <v>0</v>
      </c>
      <c r="I16" s="233"/>
      <c r="J16" s="236">
        <f>IF(Mach_Input!G16="","",Mach_Input!$B16*Mach_Input!N16)</f>
        <v>0</v>
      </c>
      <c r="K16" s="236">
        <f>IF(Mach_Input!G16="","",Mach_Input!$G16*Mach_Input!N16)</f>
        <v>0</v>
      </c>
      <c r="L16" s="236">
        <f>IF(Mach_Input!G16="","",Mach_Input!$H16*Mach_Input!N16)</f>
        <v>0</v>
      </c>
      <c r="M16" s="233"/>
      <c r="N16" s="519">
        <f>IF(Mach_Input!G16="","",Mach_Input!$B16*Mach_Input!P16)</f>
        <v>0</v>
      </c>
      <c r="O16" s="236">
        <f>IF(Mach_Input!G16="","",Mach_Input!$G16*Mach_Input!P16)</f>
        <v>0</v>
      </c>
      <c r="P16" s="236">
        <f>IF(Mach_Input!G16="","",Mach_Input!$H16*Mach_Input!P16)</f>
        <v>0</v>
      </c>
      <c r="Q16" s="233"/>
      <c r="R16" s="519">
        <f>IF(Mach_Input!G16="","",Mach_Input!$B16*Mach_Input!R16)</f>
        <v>0</v>
      </c>
      <c r="S16" s="236">
        <f>IF(Mach_Input!G16="","",Mach_Input!$G16*Mach_Input!R16)</f>
        <v>0</v>
      </c>
      <c r="T16" s="236">
        <f>IF(Mach_Input!G16="","",Mach_Input!$H16*Mach_Input!R16)</f>
        <v>0</v>
      </c>
      <c r="U16" s="233"/>
      <c r="V16" s="519">
        <f>IF(Mach_Input!G16="","",Mach_Input!$B16*Mach_Input!T16)</f>
        <v>0</v>
      </c>
      <c r="W16" s="236">
        <f>IF(Mach_Input!G16="","",Mach_Input!$G16*Mach_Input!T16)</f>
        <v>0</v>
      </c>
      <c r="X16" s="236">
        <f>IF(Mach_Input!G16="","",Mach_Input!$H16*Mach_Input!T16)</f>
        <v>0</v>
      </c>
      <c r="Y16" s="233"/>
    </row>
    <row r="17" spans="1:25" ht="12.75">
      <c r="A17" s="235" t="str">
        <f>IF(Mach_Input!A17="","",Mach_Input!A17)</f>
        <v>Sprayer</v>
      </c>
      <c r="B17" s="236">
        <f>IF(Mach_Input!G17="","",Mach_Input!$B17*Mach_Input!J17)</f>
        <v>2000</v>
      </c>
      <c r="C17" s="236">
        <f>IF(Mach_Input!G17="","",Mach_Input!$G17*Mach_Input!J17)</f>
        <v>1800</v>
      </c>
      <c r="D17" s="236">
        <f>IF(Mach_Input!G17="","",Mach_Input!$H17*Mach_Input!J17)</f>
        <v>216.66666666666666</v>
      </c>
      <c r="E17" s="233"/>
      <c r="F17" s="236">
        <f>IF(Mach_Input!G17="","",Mach_Input!$B17*Mach_Input!L17)</f>
        <v>1000</v>
      </c>
      <c r="G17" s="236">
        <f>IF(Mach_Input!G17="","",Mach_Input!$G17*Mach_Input!L17)</f>
        <v>900</v>
      </c>
      <c r="H17" s="236">
        <f>IF(Mach_Input!G17="","",Mach_Input!$H17*Mach_Input!L17)</f>
        <v>108.33333333333333</v>
      </c>
      <c r="I17" s="233"/>
      <c r="J17" s="236">
        <f>IF(Mach_Input!G17="","",Mach_Input!$B17*Mach_Input!N17)</f>
        <v>1000</v>
      </c>
      <c r="K17" s="236">
        <f>IF(Mach_Input!G17="","",Mach_Input!$G17*Mach_Input!N17)</f>
        <v>900</v>
      </c>
      <c r="L17" s="236">
        <f>IF(Mach_Input!G17="","",Mach_Input!$H17*Mach_Input!N17)</f>
        <v>108.33333333333333</v>
      </c>
      <c r="M17" s="233"/>
      <c r="N17" s="519">
        <f>IF(Mach_Input!G17="","",Mach_Input!$B17*Mach_Input!P17)</f>
        <v>0</v>
      </c>
      <c r="O17" s="236">
        <f>IF(Mach_Input!G17="","",Mach_Input!$G17*Mach_Input!P17)</f>
        <v>0</v>
      </c>
      <c r="P17" s="236">
        <f>IF(Mach_Input!G17="","",Mach_Input!$H17*Mach_Input!P17)</f>
        <v>0</v>
      </c>
      <c r="Q17" s="233"/>
      <c r="R17" s="519">
        <f>IF(Mach_Input!G17="","",Mach_Input!$B17*Mach_Input!R17)</f>
        <v>0</v>
      </c>
      <c r="S17" s="236">
        <f>IF(Mach_Input!G17="","",Mach_Input!$G17*Mach_Input!R17)</f>
        <v>0</v>
      </c>
      <c r="T17" s="236">
        <f>IF(Mach_Input!G17="","",Mach_Input!$H17*Mach_Input!R17)</f>
        <v>0</v>
      </c>
      <c r="U17" s="233"/>
      <c r="V17" s="519">
        <f>IF(Mach_Input!G17="","",Mach_Input!$B17*Mach_Input!T17)</f>
        <v>0</v>
      </c>
      <c r="W17" s="236">
        <f>IF(Mach_Input!G17="","",Mach_Input!$G17*Mach_Input!T17)</f>
        <v>0</v>
      </c>
      <c r="X17" s="236">
        <f>IF(Mach_Input!G17="","",Mach_Input!$H17*Mach_Input!T17)</f>
        <v>0</v>
      </c>
      <c r="Y17" s="233"/>
    </row>
    <row r="18" spans="1:25" ht="12.75">
      <c r="A18" s="235" t="str">
        <f>IF(Mach_Input!A18="","",Mach_Input!A18)</f>
        <v>Vine Chopper</v>
      </c>
      <c r="B18" s="236">
        <f>IF(Mach_Input!G18="","",Mach_Input!$B18*Mach_Input!J18)</f>
        <v>6000</v>
      </c>
      <c r="C18" s="236">
        <f>IF(Mach_Input!G18="","",Mach_Input!$G18*Mach_Input!J18)</f>
        <v>6824.25</v>
      </c>
      <c r="D18" s="236">
        <f>IF(Mach_Input!G18="","",Mach_Input!$H18*Mach_Input!J18)</f>
        <v>1612.625</v>
      </c>
      <c r="E18" s="233"/>
      <c r="F18" s="236">
        <f>IF(Mach_Input!G18="","",Mach_Input!$B18*Mach_Input!L18)</f>
        <v>0</v>
      </c>
      <c r="G18" s="236">
        <f>IF(Mach_Input!G18="","",Mach_Input!$G18*Mach_Input!L18)</f>
        <v>0</v>
      </c>
      <c r="H18" s="236">
        <f>IF(Mach_Input!G18="","",Mach_Input!$H18*Mach_Input!L18)</f>
        <v>0</v>
      </c>
      <c r="I18" s="233"/>
      <c r="J18" s="236">
        <f>IF(Mach_Input!G18="","",Mach_Input!$B18*Mach_Input!N18)</f>
        <v>0</v>
      </c>
      <c r="K18" s="236">
        <f>IF(Mach_Input!G18="","",Mach_Input!$G18*Mach_Input!N18)</f>
        <v>0</v>
      </c>
      <c r="L18" s="236">
        <f>IF(Mach_Input!G18="","",Mach_Input!$H18*Mach_Input!N18)</f>
        <v>0</v>
      </c>
      <c r="M18" s="233"/>
      <c r="N18" s="519">
        <f>IF(Mach_Input!G18="","",Mach_Input!$B18*Mach_Input!P18)</f>
        <v>0</v>
      </c>
      <c r="O18" s="236">
        <f>IF(Mach_Input!G18="","",Mach_Input!$G18*Mach_Input!P18)</f>
        <v>0</v>
      </c>
      <c r="P18" s="236">
        <f>IF(Mach_Input!G18="","",Mach_Input!$H18*Mach_Input!P18)</f>
        <v>0</v>
      </c>
      <c r="Q18" s="233"/>
      <c r="R18" s="519">
        <f>IF(Mach_Input!G18="","",Mach_Input!$B18*Mach_Input!R18)</f>
        <v>0</v>
      </c>
      <c r="S18" s="236">
        <f>IF(Mach_Input!G18="","",Mach_Input!$G18*Mach_Input!R18)</f>
        <v>0</v>
      </c>
      <c r="T18" s="236">
        <f>IF(Mach_Input!G18="","",Mach_Input!$H18*Mach_Input!R18)</f>
        <v>0</v>
      </c>
      <c r="U18" s="233"/>
      <c r="V18" s="519">
        <f>IF(Mach_Input!G18="","",Mach_Input!$B18*Mach_Input!T18)</f>
        <v>0</v>
      </c>
      <c r="W18" s="236">
        <f>IF(Mach_Input!G18="","",Mach_Input!$G18*Mach_Input!T18)</f>
        <v>0</v>
      </c>
      <c r="X18" s="236">
        <f>IF(Mach_Input!G18="","",Mach_Input!$H18*Mach_Input!T18)</f>
        <v>0</v>
      </c>
      <c r="Y18" s="233"/>
    </row>
    <row r="19" spans="1:25" ht="12.75">
      <c r="A19" s="235" t="str">
        <f>IF(Mach_Input!A19="","",Mach_Input!A19)</f>
        <v>Vine Roller</v>
      </c>
      <c r="B19" s="236">
        <f>IF(Mach_Input!G19="","",Mach_Input!$B19*Mach_Input!J19)</f>
        <v>2000</v>
      </c>
      <c r="C19" s="236">
        <f>IF(Mach_Input!G19="","",Mach_Input!$G19*Mach_Input!J19)</f>
        <v>1733.3333333333333</v>
      </c>
      <c r="D19" s="236">
        <f>IF(Mach_Input!G19="","",Mach_Input!$H19*Mach_Input!J19)</f>
        <v>153.33333333333334</v>
      </c>
      <c r="E19" s="233"/>
      <c r="F19" s="236">
        <f>IF(Mach_Input!G19="","",Mach_Input!$B19*Mach_Input!L19)</f>
        <v>0</v>
      </c>
      <c r="G19" s="236">
        <f>IF(Mach_Input!G19="","",Mach_Input!$G19*Mach_Input!L19)</f>
        <v>0</v>
      </c>
      <c r="H19" s="236">
        <f>IF(Mach_Input!G19="","",Mach_Input!$H19*Mach_Input!L19)</f>
        <v>0</v>
      </c>
      <c r="I19" s="233"/>
      <c r="J19" s="236">
        <f>IF(Mach_Input!G19="","",Mach_Input!$B19*Mach_Input!N19)</f>
        <v>0</v>
      </c>
      <c r="K19" s="236">
        <f>IF(Mach_Input!G19="","",Mach_Input!$G19*Mach_Input!N19)</f>
        <v>0</v>
      </c>
      <c r="L19" s="236">
        <f>IF(Mach_Input!G19="","",Mach_Input!$H19*Mach_Input!N19)</f>
        <v>0</v>
      </c>
      <c r="M19" s="233"/>
      <c r="N19" s="519">
        <f>IF(Mach_Input!G19="","",Mach_Input!$B19*Mach_Input!P19)</f>
        <v>0</v>
      </c>
      <c r="O19" s="236">
        <f>IF(Mach_Input!G19="","",Mach_Input!$G19*Mach_Input!P19)</f>
        <v>0</v>
      </c>
      <c r="P19" s="236">
        <f>IF(Mach_Input!G19="","",Mach_Input!$H19*Mach_Input!P19)</f>
        <v>0</v>
      </c>
      <c r="Q19" s="233"/>
      <c r="R19" s="519">
        <f>IF(Mach_Input!G19="","",Mach_Input!$B19*Mach_Input!R19)</f>
        <v>0</v>
      </c>
      <c r="S19" s="236">
        <f>IF(Mach_Input!G19="","",Mach_Input!$G19*Mach_Input!R19)</f>
        <v>0</v>
      </c>
      <c r="T19" s="236">
        <f>IF(Mach_Input!G19="","",Mach_Input!$H19*Mach_Input!R19)</f>
        <v>0</v>
      </c>
      <c r="U19" s="233"/>
      <c r="V19" s="519">
        <f>IF(Mach_Input!G19="","",Mach_Input!$B19*Mach_Input!T19)</f>
        <v>0</v>
      </c>
      <c r="W19" s="236">
        <f>IF(Mach_Input!G19="","",Mach_Input!$G19*Mach_Input!T19)</f>
        <v>0</v>
      </c>
      <c r="X19" s="236">
        <f>IF(Mach_Input!G19="","",Mach_Input!$H19*Mach_Input!T19)</f>
        <v>0</v>
      </c>
      <c r="Y19" s="233"/>
    </row>
    <row r="20" spans="1:25" ht="12.75">
      <c r="A20" s="235" t="str">
        <f>IF(Mach_Input!A20="","",Mach_Input!A20)</f>
        <v>Potato Harvester - 2 Row</v>
      </c>
      <c r="B20" s="236">
        <f>IF(Mach_Input!G20="","",Mach_Input!$B20*Mach_Input!J20)</f>
        <v>28000</v>
      </c>
      <c r="C20" s="236">
        <f>IF(Mach_Input!G20="","",Mach_Input!$G20*Mach_Input!J20)</f>
        <v>37000</v>
      </c>
      <c r="D20" s="236">
        <f>IF(Mach_Input!G20="","",Mach_Input!$H20*Mach_Input!J20)</f>
        <v>4500</v>
      </c>
      <c r="E20" s="233"/>
      <c r="F20" s="236">
        <f>IF(Mach_Input!G20="","",Mach_Input!$B20*Mach_Input!L20)</f>
        <v>0</v>
      </c>
      <c r="G20" s="236">
        <f>IF(Mach_Input!G20="","",Mach_Input!$G20*Mach_Input!L20)</f>
        <v>0</v>
      </c>
      <c r="H20" s="236">
        <f>IF(Mach_Input!G20="","",Mach_Input!$H20*Mach_Input!L20)</f>
        <v>0</v>
      </c>
      <c r="I20" s="233"/>
      <c r="J20" s="236">
        <f>IF(Mach_Input!G20="","",Mach_Input!$B20*Mach_Input!N20)</f>
        <v>0</v>
      </c>
      <c r="K20" s="236">
        <f>IF(Mach_Input!G20="","",Mach_Input!$G20*Mach_Input!N20)</f>
        <v>0</v>
      </c>
      <c r="L20" s="236">
        <f>IF(Mach_Input!G20="","",Mach_Input!$H20*Mach_Input!N20)</f>
        <v>0</v>
      </c>
      <c r="M20" s="233"/>
      <c r="N20" s="519">
        <f>IF(Mach_Input!G20="","",Mach_Input!$B20*Mach_Input!P20)</f>
        <v>0</v>
      </c>
      <c r="O20" s="236">
        <f>IF(Mach_Input!G20="","",Mach_Input!$G20*Mach_Input!P20)</f>
        <v>0</v>
      </c>
      <c r="P20" s="236">
        <f>IF(Mach_Input!G20="","",Mach_Input!$H20*Mach_Input!P20)</f>
        <v>0</v>
      </c>
      <c r="Q20" s="233"/>
      <c r="R20" s="519">
        <f>IF(Mach_Input!G20="","",Mach_Input!$B20*Mach_Input!R20)</f>
        <v>0</v>
      </c>
      <c r="S20" s="236">
        <f>IF(Mach_Input!G20="","",Mach_Input!$G20*Mach_Input!R20)</f>
        <v>0</v>
      </c>
      <c r="T20" s="236">
        <f>IF(Mach_Input!G20="","",Mach_Input!$H20*Mach_Input!R20)</f>
        <v>0</v>
      </c>
      <c r="U20" s="233"/>
      <c r="V20" s="519">
        <f>IF(Mach_Input!G20="","",Mach_Input!$B20*Mach_Input!T20)</f>
        <v>0</v>
      </c>
      <c r="W20" s="236">
        <f>IF(Mach_Input!G20="","",Mach_Input!$G20*Mach_Input!T20)</f>
        <v>0</v>
      </c>
      <c r="X20" s="236">
        <f>IF(Mach_Input!G20="","",Mach_Input!$H20*Mach_Input!T20)</f>
        <v>0</v>
      </c>
      <c r="Y20" s="233"/>
    </row>
    <row r="21" spans="1:25" ht="12.75">
      <c r="A21" s="235" t="str">
        <f>IF(Mach_Input!A21="","",Mach_Input!A21)</f>
        <v>Potato Windrower - 4 Row</v>
      </c>
      <c r="B21" s="236">
        <f>IF(Mach_Input!G21="","",Mach_Input!$B21*Mach_Input!J21)</f>
        <v>35000</v>
      </c>
      <c r="C21" s="236">
        <f>IF(Mach_Input!G21="","",Mach_Input!$G21*Mach_Input!J21)</f>
        <v>37600</v>
      </c>
      <c r="D21" s="236">
        <f>IF(Mach_Input!G21="","",Mach_Input!$H21*Mach_Input!J21)</f>
        <v>3700</v>
      </c>
      <c r="E21" s="233"/>
      <c r="F21" s="236">
        <f>IF(Mach_Input!G21="","",Mach_Input!$B21*Mach_Input!L21)</f>
        <v>0</v>
      </c>
      <c r="G21" s="236">
        <f>IF(Mach_Input!G21="","",Mach_Input!$G21*Mach_Input!L21)</f>
        <v>0</v>
      </c>
      <c r="H21" s="236">
        <f>IF(Mach_Input!G21="","",Mach_Input!$H21*Mach_Input!L21)</f>
        <v>0</v>
      </c>
      <c r="I21" s="233"/>
      <c r="J21" s="236">
        <f>IF(Mach_Input!G21="","",Mach_Input!$B21*Mach_Input!N21)</f>
        <v>0</v>
      </c>
      <c r="K21" s="236">
        <f>IF(Mach_Input!G21="","",Mach_Input!$G21*Mach_Input!N21)</f>
        <v>0</v>
      </c>
      <c r="L21" s="236">
        <f>IF(Mach_Input!G21="","",Mach_Input!$H21*Mach_Input!N21)</f>
        <v>0</v>
      </c>
      <c r="M21" s="233"/>
      <c r="N21" s="519">
        <f>IF(Mach_Input!G21="","",Mach_Input!$B21*Mach_Input!P21)</f>
        <v>0</v>
      </c>
      <c r="O21" s="236">
        <f>IF(Mach_Input!G21="","",Mach_Input!$G21*Mach_Input!P21)</f>
        <v>0</v>
      </c>
      <c r="P21" s="236">
        <f>IF(Mach_Input!G21="","",Mach_Input!$H21*Mach_Input!P21)</f>
        <v>0</v>
      </c>
      <c r="Q21" s="233"/>
      <c r="R21" s="519">
        <f>IF(Mach_Input!G21="","",Mach_Input!$B21*Mach_Input!R21)</f>
        <v>0</v>
      </c>
      <c r="S21" s="236">
        <f>IF(Mach_Input!G21="","",Mach_Input!$G21*Mach_Input!R21)</f>
        <v>0</v>
      </c>
      <c r="T21" s="236">
        <f>IF(Mach_Input!G21="","",Mach_Input!$H21*Mach_Input!R21)</f>
        <v>0</v>
      </c>
      <c r="U21" s="233"/>
      <c r="V21" s="519">
        <f>IF(Mach_Input!G21="","",Mach_Input!$B21*Mach_Input!T21)</f>
        <v>0</v>
      </c>
      <c r="W21" s="236">
        <f>IF(Mach_Input!G21="","",Mach_Input!$G21*Mach_Input!T21)</f>
        <v>0</v>
      </c>
      <c r="X21" s="236">
        <f>IF(Mach_Input!G21="","",Mach_Input!$H21*Mach_Input!T21)</f>
        <v>0</v>
      </c>
      <c r="Y21" s="233"/>
    </row>
    <row r="22" spans="1:25" ht="12.75">
      <c r="A22" s="235" t="str">
        <f>IF(Mach_Input!A22="","",Mach_Input!A22)</f>
        <v>Truck #1 - 10-Wheeler</v>
      </c>
      <c r="B22" s="236">
        <f>IF(Mach_Input!G22="","",Mach_Input!$B22*Mach_Input!J22)</f>
        <v>28000</v>
      </c>
      <c r="C22" s="236">
        <f>IF(Mach_Input!G22="","",Mach_Input!$G22*Mach_Input!J22)</f>
        <v>23946.666666666668</v>
      </c>
      <c r="D22" s="236">
        <f>IF(Mach_Input!G22="","",Mach_Input!$H22*Mach_Input!J22)</f>
        <v>2506.666666666667</v>
      </c>
      <c r="E22" s="233"/>
      <c r="F22" s="236">
        <f>IF(Mach_Input!G22="","",Mach_Input!$B22*Mach_Input!L22)</f>
        <v>3500</v>
      </c>
      <c r="G22" s="236">
        <f>IF(Mach_Input!G22="","",Mach_Input!$G22*Mach_Input!L22)</f>
        <v>2993.3333333333335</v>
      </c>
      <c r="H22" s="236">
        <f>IF(Mach_Input!G22="","",Mach_Input!$H22*Mach_Input!L22)</f>
        <v>313.33333333333337</v>
      </c>
      <c r="I22" s="233"/>
      <c r="J22" s="236">
        <f>IF(Mach_Input!G22="","",Mach_Input!$B22*Mach_Input!N22)</f>
        <v>3500</v>
      </c>
      <c r="K22" s="236">
        <f>IF(Mach_Input!G22="","",Mach_Input!$G22*Mach_Input!N22)</f>
        <v>2993.3333333333335</v>
      </c>
      <c r="L22" s="236">
        <f>IF(Mach_Input!G22="","",Mach_Input!$H22*Mach_Input!N22)</f>
        <v>313.33333333333337</v>
      </c>
      <c r="M22" s="233"/>
      <c r="N22" s="519">
        <f>IF(Mach_Input!G22="","",Mach_Input!$B22*Mach_Input!P22)</f>
        <v>0</v>
      </c>
      <c r="O22" s="236">
        <f>IF(Mach_Input!G22="","",Mach_Input!$G22*Mach_Input!P22)</f>
        <v>0</v>
      </c>
      <c r="P22" s="236">
        <f>IF(Mach_Input!G22="","",Mach_Input!$H22*Mach_Input!P22)</f>
        <v>0</v>
      </c>
      <c r="Q22" s="233"/>
      <c r="R22" s="519">
        <f>IF(Mach_Input!G22="","",Mach_Input!$B22*Mach_Input!R22)</f>
        <v>0</v>
      </c>
      <c r="S22" s="236">
        <f>IF(Mach_Input!G22="","",Mach_Input!$G22*Mach_Input!R22)</f>
        <v>0</v>
      </c>
      <c r="T22" s="236">
        <f>IF(Mach_Input!G22="","",Mach_Input!$H22*Mach_Input!R22)</f>
        <v>0</v>
      </c>
      <c r="U22" s="233"/>
      <c r="V22" s="519">
        <f>IF(Mach_Input!G22="","",Mach_Input!$B22*Mach_Input!T22)</f>
        <v>0</v>
      </c>
      <c r="W22" s="236">
        <f>IF(Mach_Input!G22="","",Mach_Input!$G22*Mach_Input!T22)</f>
        <v>0</v>
      </c>
      <c r="X22" s="236">
        <f>IF(Mach_Input!G22="","",Mach_Input!$H22*Mach_Input!T22)</f>
        <v>0</v>
      </c>
      <c r="Y22" s="233"/>
    </row>
    <row r="23" spans="1:25" ht="12.75">
      <c r="A23" s="235" t="str">
        <f>IF(Mach_Input!A23="","",Mach_Input!A23)</f>
        <v>Truck #2 - 10-Wheeler</v>
      </c>
      <c r="B23" s="236">
        <f>IF(Mach_Input!G23="","",Mach_Input!$B23*Mach_Input!J23)</f>
        <v>28000</v>
      </c>
      <c r="C23" s="236">
        <f>IF(Mach_Input!G23="","",Mach_Input!$G23*Mach_Input!J23)</f>
        <v>23946.666666666668</v>
      </c>
      <c r="D23" s="236">
        <f>IF(Mach_Input!G23="","",Mach_Input!$H23*Mach_Input!J23)</f>
        <v>2506.666666666667</v>
      </c>
      <c r="E23" s="233"/>
      <c r="F23" s="236">
        <f>IF(Mach_Input!G23="","",Mach_Input!$B23*Mach_Input!L23)</f>
        <v>3500</v>
      </c>
      <c r="G23" s="236">
        <f>IF(Mach_Input!G23="","",Mach_Input!$G23*Mach_Input!L23)</f>
        <v>2993.3333333333335</v>
      </c>
      <c r="H23" s="236">
        <f>IF(Mach_Input!G23="","",Mach_Input!$H23*Mach_Input!L23)</f>
        <v>313.33333333333337</v>
      </c>
      <c r="I23" s="233"/>
      <c r="J23" s="236">
        <f>IF(Mach_Input!G23="","",Mach_Input!$B23*Mach_Input!N23)</f>
        <v>3500</v>
      </c>
      <c r="K23" s="236">
        <f>IF(Mach_Input!G23="","",Mach_Input!$G23*Mach_Input!N23)</f>
        <v>2993.3333333333335</v>
      </c>
      <c r="L23" s="236">
        <f>IF(Mach_Input!G23="","",Mach_Input!$H23*Mach_Input!N23)</f>
        <v>313.33333333333337</v>
      </c>
      <c r="M23" s="233"/>
      <c r="N23" s="519">
        <f>IF(Mach_Input!G23="","",Mach_Input!$B23*Mach_Input!P23)</f>
        <v>0</v>
      </c>
      <c r="O23" s="236">
        <f>IF(Mach_Input!G23="","",Mach_Input!$G23*Mach_Input!P23)</f>
        <v>0</v>
      </c>
      <c r="P23" s="236">
        <f>IF(Mach_Input!G23="","",Mach_Input!$H23*Mach_Input!P23)</f>
        <v>0</v>
      </c>
      <c r="Q23" s="233"/>
      <c r="R23" s="519">
        <f>IF(Mach_Input!G23="","",Mach_Input!$B23*Mach_Input!R23)</f>
        <v>0</v>
      </c>
      <c r="S23" s="236">
        <f>IF(Mach_Input!G23="","",Mach_Input!$G23*Mach_Input!R23)</f>
        <v>0</v>
      </c>
      <c r="T23" s="236">
        <f>IF(Mach_Input!G23="","",Mach_Input!$H23*Mach_Input!R23)</f>
        <v>0</v>
      </c>
      <c r="U23" s="233"/>
      <c r="V23" s="519">
        <f>IF(Mach_Input!G23="","",Mach_Input!$B23*Mach_Input!T23)</f>
        <v>0</v>
      </c>
      <c r="W23" s="236">
        <f>IF(Mach_Input!G23="","",Mach_Input!$G23*Mach_Input!T23)</f>
        <v>0</v>
      </c>
      <c r="X23" s="236">
        <f>IF(Mach_Input!G23="","",Mach_Input!$H23*Mach_Input!T23)</f>
        <v>0</v>
      </c>
      <c r="Y23" s="233"/>
    </row>
    <row r="24" spans="1:25" ht="12.75">
      <c r="A24" s="235" t="str">
        <f>IF(Mach_Input!A24="","",Mach_Input!A24)</f>
        <v>Truck #3 - 10-Wheeler</v>
      </c>
      <c r="B24" s="236">
        <f>IF(Mach_Input!G24="","",Mach_Input!$B24*Mach_Input!J24)</f>
        <v>20000</v>
      </c>
      <c r="C24" s="236">
        <f>IF(Mach_Input!G24="","",Mach_Input!$G24*Mach_Input!J24)</f>
        <v>21440</v>
      </c>
      <c r="D24" s="236">
        <f>IF(Mach_Input!G24="","",Mach_Input!$H24*Mach_Input!J24)</f>
        <v>2506.666666666667</v>
      </c>
      <c r="E24" s="233"/>
      <c r="F24" s="236">
        <f>IF(Mach_Input!G24="","",Mach_Input!$B24*Mach_Input!L24)</f>
        <v>2500</v>
      </c>
      <c r="G24" s="236">
        <f>IF(Mach_Input!G24="","",Mach_Input!$G24*Mach_Input!L24)</f>
        <v>2680</v>
      </c>
      <c r="H24" s="236">
        <f>IF(Mach_Input!G24="","",Mach_Input!$H24*Mach_Input!L24)</f>
        <v>313.33333333333337</v>
      </c>
      <c r="I24" s="233"/>
      <c r="J24" s="236">
        <f>IF(Mach_Input!G24="","",Mach_Input!$B24*Mach_Input!N24)</f>
        <v>2500</v>
      </c>
      <c r="K24" s="236">
        <f>IF(Mach_Input!G24="","",Mach_Input!$G24*Mach_Input!N24)</f>
        <v>2680</v>
      </c>
      <c r="L24" s="236">
        <f>IF(Mach_Input!G24="","",Mach_Input!$H24*Mach_Input!N24)</f>
        <v>313.33333333333337</v>
      </c>
      <c r="M24" s="233"/>
      <c r="N24" s="519">
        <f>IF(Mach_Input!G24="","",Mach_Input!$B24*Mach_Input!P24)</f>
        <v>0</v>
      </c>
      <c r="O24" s="236">
        <f>IF(Mach_Input!G24="","",Mach_Input!$G24*Mach_Input!P24)</f>
        <v>0</v>
      </c>
      <c r="P24" s="236">
        <f>IF(Mach_Input!G24="","",Mach_Input!$H24*Mach_Input!P24)</f>
        <v>0</v>
      </c>
      <c r="Q24" s="233"/>
      <c r="R24" s="519">
        <f>IF(Mach_Input!G24="","",Mach_Input!$B24*Mach_Input!R24)</f>
        <v>0</v>
      </c>
      <c r="S24" s="236">
        <f>IF(Mach_Input!G24="","",Mach_Input!$G24*Mach_Input!R24)</f>
        <v>0</v>
      </c>
      <c r="T24" s="236">
        <f>IF(Mach_Input!G24="","",Mach_Input!$H24*Mach_Input!R24)</f>
        <v>0</v>
      </c>
      <c r="U24" s="233"/>
      <c r="V24" s="519">
        <f>IF(Mach_Input!G24="","",Mach_Input!$B24*Mach_Input!T24)</f>
        <v>0</v>
      </c>
      <c r="W24" s="236">
        <f>IF(Mach_Input!G24="","",Mach_Input!$G24*Mach_Input!T24)</f>
        <v>0</v>
      </c>
      <c r="X24" s="236">
        <f>IF(Mach_Input!G24="","",Mach_Input!$H24*Mach_Input!T24)</f>
        <v>0</v>
      </c>
      <c r="Y24" s="233"/>
    </row>
    <row r="25" spans="1:25" ht="12.75">
      <c r="A25" s="235" t="str">
        <f>IF(Mach_Input!A25="","",Mach_Input!A25)</f>
        <v>Truck #4 - 10-Wheeler</v>
      </c>
      <c r="B25" s="236">
        <f>IF(Mach_Input!G25="","",Mach_Input!$B25*Mach_Input!J25)</f>
        <v>25000</v>
      </c>
      <c r="C25" s="236">
        <f>IF(Mach_Input!G25="","",Mach_Input!$G25*Mach_Input!J25)</f>
        <v>26800</v>
      </c>
      <c r="D25" s="236">
        <f>IF(Mach_Input!G25="","",Mach_Input!$H25*Mach_Input!J25)</f>
        <v>3133.3333333333335</v>
      </c>
      <c r="E25" s="233"/>
      <c r="F25" s="236">
        <f>IF(Mach_Input!G25="","",Mach_Input!$B25*Mach_Input!L25)</f>
        <v>0</v>
      </c>
      <c r="G25" s="236">
        <f>IF(Mach_Input!G25="","",Mach_Input!$G25*Mach_Input!L25)</f>
        <v>0</v>
      </c>
      <c r="H25" s="236">
        <f>IF(Mach_Input!G25="","",Mach_Input!$H25*Mach_Input!L25)</f>
        <v>0</v>
      </c>
      <c r="I25" s="233"/>
      <c r="J25" s="236">
        <f>IF(Mach_Input!G25="","",Mach_Input!$B25*Mach_Input!N25)</f>
        <v>0</v>
      </c>
      <c r="K25" s="236">
        <f>IF(Mach_Input!G25="","",Mach_Input!$G25*Mach_Input!N25)</f>
        <v>0</v>
      </c>
      <c r="L25" s="236">
        <f>IF(Mach_Input!G25="","",Mach_Input!$H25*Mach_Input!N25)</f>
        <v>0</v>
      </c>
      <c r="M25" s="233"/>
      <c r="N25" s="519">
        <f>IF(Mach_Input!G25="","",Mach_Input!$B25*Mach_Input!P25)</f>
        <v>0</v>
      </c>
      <c r="O25" s="236">
        <f>IF(Mach_Input!G25="","",Mach_Input!$G25*Mach_Input!P25)</f>
        <v>0</v>
      </c>
      <c r="P25" s="236">
        <f>IF(Mach_Input!G25="","",Mach_Input!$H25*Mach_Input!P25)</f>
        <v>0</v>
      </c>
      <c r="Q25" s="233"/>
      <c r="R25" s="519">
        <f>IF(Mach_Input!G25="","",Mach_Input!$B25*Mach_Input!R25)</f>
        <v>0</v>
      </c>
      <c r="S25" s="236">
        <f>IF(Mach_Input!G25="","",Mach_Input!$G25*Mach_Input!R25)</f>
        <v>0</v>
      </c>
      <c r="T25" s="236">
        <f>IF(Mach_Input!G25="","",Mach_Input!$H25*Mach_Input!R25)</f>
        <v>0</v>
      </c>
      <c r="U25" s="233"/>
      <c r="V25" s="519">
        <f>IF(Mach_Input!G25="","",Mach_Input!$B25*Mach_Input!T25)</f>
        <v>0</v>
      </c>
      <c r="W25" s="236">
        <f>IF(Mach_Input!G25="","",Mach_Input!$G25*Mach_Input!T25)</f>
        <v>0</v>
      </c>
      <c r="X25" s="236">
        <f>IF(Mach_Input!G25="","",Mach_Input!$H25*Mach_Input!T25)</f>
        <v>0</v>
      </c>
      <c r="Y25" s="233"/>
    </row>
    <row r="26" spans="1:25" ht="12.75">
      <c r="A26" s="235" t="str">
        <f>IF(Mach_Input!A26="","",Mach_Input!A26)</f>
        <v>Truck #5 - 10-Wheeler</v>
      </c>
      <c r="B26" s="236">
        <f>IF(Mach_Input!G26="","",Mach_Input!$B26*Mach_Input!J26)</f>
        <v>15000</v>
      </c>
      <c r="C26" s="236">
        <f>IF(Mach_Input!G26="","",Mach_Input!$G26*Mach_Input!J26)</f>
        <v>23666.666666666664</v>
      </c>
      <c r="D26" s="236">
        <f>IF(Mach_Input!G26="","",Mach_Input!$H26*Mach_Input!J26)</f>
        <v>3133.3333333333335</v>
      </c>
      <c r="E26" s="233"/>
      <c r="F26" s="236">
        <f>IF(Mach_Input!G26="","",Mach_Input!$B26*Mach_Input!L26)</f>
        <v>0</v>
      </c>
      <c r="G26" s="236">
        <f>IF(Mach_Input!G26="","",Mach_Input!$G26*Mach_Input!L26)</f>
        <v>0</v>
      </c>
      <c r="H26" s="236">
        <f>IF(Mach_Input!G26="","",Mach_Input!$H26*Mach_Input!L26)</f>
        <v>0</v>
      </c>
      <c r="I26" s="233"/>
      <c r="J26" s="236">
        <f>IF(Mach_Input!G26="","",Mach_Input!$B26*Mach_Input!N26)</f>
        <v>0</v>
      </c>
      <c r="K26" s="236">
        <f>IF(Mach_Input!G26="","",Mach_Input!$G26*Mach_Input!N26)</f>
        <v>0</v>
      </c>
      <c r="L26" s="236">
        <f>IF(Mach_Input!G26="","",Mach_Input!$H26*Mach_Input!N26)</f>
        <v>0</v>
      </c>
      <c r="M26" s="233"/>
      <c r="N26" s="519">
        <f>IF(Mach_Input!G26="","",Mach_Input!$B26*Mach_Input!P26)</f>
        <v>0</v>
      </c>
      <c r="O26" s="236">
        <f>IF(Mach_Input!G26="","",Mach_Input!$G26*Mach_Input!P26)</f>
        <v>0</v>
      </c>
      <c r="P26" s="236">
        <f>IF(Mach_Input!G26="","",Mach_Input!$H26*Mach_Input!P26)</f>
        <v>0</v>
      </c>
      <c r="Q26" s="233"/>
      <c r="R26" s="519">
        <f>IF(Mach_Input!G26="","",Mach_Input!$B26*Mach_Input!R26)</f>
        <v>0</v>
      </c>
      <c r="S26" s="236">
        <f>IF(Mach_Input!G26="","",Mach_Input!$G26*Mach_Input!R26)</f>
        <v>0</v>
      </c>
      <c r="T26" s="236">
        <f>IF(Mach_Input!G26="","",Mach_Input!$H26*Mach_Input!R26)</f>
        <v>0</v>
      </c>
      <c r="U26" s="233"/>
      <c r="V26" s="519">
        <f>IF(Mach_Input!G26="","",Mach_Input!$B26*Mach_Input!T26)</f>
        <v>0</v>
      </c>
      <c r="W26" s="236">
        <f>IF(Mach_Input!G26="","",Mach_Input!$G26*Mach_Input!T26)</f>
        <v>0</v>
      </c>
      <c r="X26" s="236">
        <f>IF(Mach_Input!G26="","",Mach_Input!$H26*Mach_Input!T26)</f>
        <v>0</v>
      </c>
      <c r="Y26" s="233"/>
    </row>
    <row r="27" spans="1:25" ht="12.75">
      <c r="A27" s="235" t="str">
        <f>IF(Mach_Input!A27="","",Mach_Input!A27)</f>
        <v> </v>
      </c>
      <c r="B27" s="236">
        <f>IF(Mach_Input!G27="","",Mach_Input!$B27*Mach_Input!J27)</f>
      </c>
      <c r="C27" s="236">
        <f>IF(Mach_Input!G27="","",Mach_Input!$G27*Mach_Input!J27)</f>
      </c>
      <c r="D27" s="236">
        <f>IF(Mach_Input!G27="","",Mach_Input!$H27*Mach_Input!J27)</f>
      </c>
      <c r="E27" s="233"/>
      <c r="F27" s="236">
        <f>IF(Mach_Input!G27="","",Mach_Input!$B27*Mach_Input!L27)</f>
      </c>
      <c r="G27" s="236">
        <f>IF(Mach_Input!G27="","",Mach_Input!$G27*Mach_Input!L27)</f>
      </c>
      <c r="H27" s="236">
        <f>IF(Mach_Input!G27="","",Mach_Input!$H27*Mach_Input!L27)</f>
      </c>
      <c r="I27" s="233"/>
      <c r="J27" s="236">
        <f>IF(Mach_Input!G27="","",Mach_Input!$B27*Mach_Input!N27)</f>
      </c>
      <c r="K27" s="236">
        <f>IF(Mach_Input!G27="","",Mach_Input!$G27*Mach_Input!N27)</f>
      </c>
      <c r="L27" s="236">
        <f>IF(Mach_Input!G27="","",Mach_Input!$H27*Mach_Input!N27)</f>
      </c>
      <c r="M27" s="233"/>
      <c r="N27" s="519">
        <f>IF(Mach_Input!G27="","",Mach_Input!$B27*Mach_Input!P27)</f>
      </c>
      <c r="O27" s="236">
        <f>IF(Mach_Input!G27="","",Mach_Input!$G27*Mach_Input!P27)</f>
      </c>
      <c r="P27" s="236">
        <f>IF(Mach_Input!G27="","",Mach_Input!$H27*Mach_Input!P27)</f>
      </c>
      <c r="Q27" s="233"/>
      <c r="R27" s="519">
        <f>IF(Mach_Input!G27="","",Mach_Input!$B27*Mach_Input!R27)</f>
      </c>
      <c r="S27" s="236">
        <f>IF(Mach_Input!G27="","",Mach_Input!$G27*Mach_Input!R27)</f>
      </c>
      <c r="T27" s="236">
        <f>IF(Mach_Input!G27="","",Mach_Input!$H27*Mach_Input!R27)</f>
      </c>
      <c r="U27" s="233"/>
      <c r="V27" s="519">
        <f>IF(Mach_Input!G27="","",Mach_Input!$B27*Mach_Input!T27)</f>
      </c>
      <c r="W27" s="236">
        <f>IF(Mach_Input!G27="","",Mach_Input!$G27*Mach_Input!T27)</f>
      </c>
      <c r="X27" s="236">
        <f>IF(Mach_Input!G27="","",Mach_Input!$H27*Mach_Input!T27)</f>
      </c>
      <c r="Y27" s="233"/>
    </row>
    <row r="28" spans="1:25" ht="12.75">
      <c r="A28" s="235" t="str">
        <f>IF(Mach_Input!A28="","",Mach_Input!A28)</f>
        <v>Grain Combine</v>
      </c>
      <c r="B28" s="236">
        <f>IF(Mach_Input!G28="","",Mach_Input!$B28*Mach_Input!J28)</f>
        <v>0</v>
      </c>
      <c r="C28" s="236">
        <f>IF(Mach_Input!G28="","",Mach_Input!$G28*Mach_Input!J28)</f>
        <v>0</v>
      </c>
      <c r="D28" s="236">
        <f>IF(Mach_Input!G28="","",Mach_Input!$H28*Mach_Input!J28)</f>
        <v>0</v>
      </c>
      <c r="E28" s="233"/>
      <c r="F28" s="236">
        <f>IF(Mach_Input!G28="","",Mach_Input!$B28*Mach_Input!L28)</f>
        <v>0</v>
      </c>
      <c r="G28" s="236">
        <f>IF(Mach_Input!G28="","",Mach_Input!$G28*Mach_Input!L28)</f>
        <v>0</v>
      </c>
      <c r="H28" s="236">
        <f>IF(Mach_Input!G28="","",Mach_Input!$H28*Mach_Input!L28)</f>
        <v>0</v>
      </c>
      <c r="I28" s="233"/>
      <c r="J28" s="236">
        <f>IF(Mach_Input!G28="","",Mach_Input!$B28*Mach_Input!N28)</f>
        <v>0</v>
      </c>
      <c r="K28" s="236">
        <f>IF(Mach_Input!G28="","",Mach_Input!$G28*Mach_Input!N28)</f>
        <v>0</v>
      </c>
      <c r="L28" s="236">
        <f>IF(Mach_Input!G28="","",Mach_Input!$H28*Mach_Input!N28)</f>
        <v>0</v>
      </c>
      <c r="M28" s="233"/>
      <c r="N28" s="519">
        <f>IF(Mach_Input!G28="","",Mach_Input!$B28*Mach_Input!P28)</f>
        <v>0</v>
      </c>
      <c r="O28" s="236">
        <f>IF(Mach_Input!G28="","",Mach_Input!$G28*Mach_Input!P28)</f>
        <v>0</v>
      </c>
      <c r="P28" s="236">
        <f>IF(Mach_Input!G28="","",Mach_Input!$H28*Mach_Input!P28)</f>
        <v>0</v>
      </c>
      <c r="Q28" s="233"/>
      <c r="R28" s="519">
        <f>IF(Mach_Input!G28="","",Mach_Input!$B28*Mach_Input!R28)</f>
        <v>0</v>
      </c>
      <c r="S28" s="236">
        <f>IF(Mach_Input!G28="","",Mach_Input!$G28*Mach_Input!R28)</f>
        <v>0</v>
      </c>
      <c r="T28" s="236">
        <f>IF(Mach_Input!G28="","",Mach_Input!$H28*Mach_Input!R28)</f>
        <v>0</v>
      </c>
      <c r="U28" s="233"/>
      <c r="V28" s="519">
        <f>IF(Mach_Input!G28="","",Mach_Input!$B28*Mach_Input!T28)</f>
        <v>0</v>
      </c>
      <c r="W28" s="236">
        <f>IF(Mach_Input!G28="","",Mach_Input!$G28*Mach_Input!T28)</f>
        <v>0</v>
      </c>
      <c r="X28" s="236">
        <f>IF(Mach_Input!G28="","",Mach_Input!$H28*Mach_Input!T28)</f>
        <v>0</v>
      </c>
      <c r="Y28" s="233"/>
    </row>
    <row r="29" spans="1:25" ht="12.75">
      <c r="A29" s="235" t="str">
        <f>IF(Mach_Input!A29="","",Mach_Input!A29)</f>
        <v>Grain Drill</v>
      </c>
      <c r="B29" s="236">
        <f>IF(Mach_Input!G29="","",Mach_Input!$B29*Mach_Input!J29)</f>
        <v>0</v>
      </c>
      <c r="C29" s="236">
        <f>IF(Mach_Input!G29="","",Mach_Input!$G29*Mach_Input!J29)</f>
        <v>0</v>
      </c>
      <c r="D29" s="236">
        <f>IF(Mach_Input!G29="","",Mach_Input!$H29*Mach_Input!J29)</f>
        <v>0</v>
      </c>
      <c r="E29" s="233"/>
      <c r="F29" s="236">
        <f>IF(Mach_Input!G29="","",Mach_Input!$B29*Mach_Input!L29)</f>
        <v>9000</v>
      </c>
      <c r="G29" s="236">
        <f>IF(Mach_Input!G29="","",Mach_Input!$G29*Mach_Input!L29)</f>
        <v>8000</v>
      </c>
      <c r="H29" s="236">
        <f>IF(Mach_Input!G29="","",Mach_Input!$H29*Mach_Input!L29)</f>
        <v>1000</v>
      </c>
      <c r="I29" s="233"/>
      <c r="J29" s="236">
        <f>IF(Mach_Input!G29="","",Mach_Input!$B29*Mach_Input!N29)</f>
        <v>9000</v>
      </c>
      <c r="K29" s="236">
        <f>IF(Mach_Input!G29="","",Mach_Input!$G29*Mach_Input!N29)</f>
        <v>8000</v>
      </c>
      <c r="L29" s="236">
        <f>IF(Mach_Input!G29="","",Mach_Input!$H29*Mach_Input!N29)</f>
        <v>1000</v>
      </c>
      <c r="M29" s="233"/>
      <c r="N29" s="519">
        <f>IF(Mach_Input!G29="","",Mach_Input!$B29*Mach_Input!P29)</f>
        <v>0</v>
      </c>
      <c r="O29" s="236">
        <f>IF(Mach_Input!G29="","",Mach_Input!$G29*Mach_Input!P29)</f>
        <v>0</v>
      </c>
      <c r="P29" s="236">
        <f>IF(Mach_Input!G29="","",Mach_Input!$H29*Mach_Input!P29)</f>
        <v>0</v>
      </c>
      <c r="Q29" s="233"/>
      <c r="R29" s="519">
        <f>IF(Mach_Input!G29="","",Mach_Input!$B29*Mach_Input!R29)</f>
        <v>0</v>
      </c>
      <c r="S29" s="236">
        <f>IF(Mach_Input!G29="","",Mach_Input!$G29*Mach_Input!R29)</f>
        <v>0</v>
      </c>
      <c r="T29" s="236">
        <f>IF(Mach_Input!G29="","",Mach_Input!$H29*Mach_Input!R29)</f>
        <v>0</v>
      </c>
      <c r="U29" s="233"/>
      <c r="V29" s="519">
        <f>IF(Mach_Input!G29="","",Mach_Input!$B29*Mach_Input!T29)</f>
        <v>0</v>
      </c>
      <c r="W29" s="236">
        <f>IF(Mach_Input!G29="","",Mach_Input!$G29*Mach_Input!T29)</f>
        <v>0</v>
      </c>
      <c r="X29" s="236">
        <f>IF(Mach_Input!G29="","",Mach_Input!$H29*Mach_Input!T29)</f>
        <v>0</v>
      </c>
      <c r="Y29" s="233"/>
    </row>
    <row r="30" spans="1:25" ht="12.75">
      <c r="A30" s="235" t="str">
        <f>IF(Mach_Input!A30="","",Mach_Input!A30)</f>
        <v>Moldboard Plow 5-bottom</v>
      </c>
      <c r="B30" s="236">
        <f>IF(Mach_Input!G30="","",Mach_Input!$B30*Mach_Input!J30)</f>
        <v>0</v>
      </c>
      <c r="C30" s="236">
        <f>IF(Mach_Input!G30="","",Mach_Input!$G30*Mach_Input!J30)</f>
        <v>0</v>
      </c>
      <c r="D30" s="236">
        <f>IF(Mach_Input!G30="","",Mach_Input!$H30*Mach_Input!J30)</f>
        <v>0</v>
      </c>
      <c r="E30" s="233"/>
      <c r="F30" s="236">
        <f>IF(Mach_Input!G30="","",Mach_Input!$B30*Mach_Input!L30)</f>
        <v>3000</v>
      </c>
      <c r="G30" s="236">
        <f>IF(Mach_Input!G30="","",Mach_Input!$G30*Mach_Input!L30)</f>
        <v>3166.666666666667</v>
      </c>
      <c r="H30" s="236">
        <f>IF(Mach_Input!G30="","",Mach_Input!$H30*Mach_Input!L30)</f>
        <v>333.3333333333333</v>
      </c>
      <c r="I30" s="233"/>
      <c r="J30" s="236">
        <f>IF(Mach_Input!G30="","",Mach_Input!$B30*Mach_Input!N30)</f>
        <v>3000</v>
      </c>
      <c r="K30" s="236">
        <f>IF(Mach_Input!G30="","",Mach_Input!$G30*Mach_Input!N30)</f>
        <v>3166.666666666667</v>
      </c>
      <c r="L30" s="236">
        <f>IF(Mach_Input!G30="","",Mach_Input!$H30*Mach_Input!N30)</f>
        <v>333.3333333333333</v>
      </c>
      <c r="M30" s="233"/>
      <c r="N30" s="519">
        <f>IF(Mach_Input!G30="","",Mach_Input!$B30*Mach_Input!P30)</f>
        <v>0</v>
      </c>
      <c r="O30" s="236">
        <f>IF(Mach_Input!G30="","",Mach_Input!$G30*Mach_Input!P30)</f>
        <v>0</v>
      </c>
      <c r="P30" s="236">
        <f>IF(Mach_Input!G30="","",Mach_Input!$H30*Mach_Input!P30)</f>
        <v>0</v>
      </c>
      <c r="Q30" s="233"/>
      <c r="R30" s="519">
        <f>IF(Mach_Input!G30="","",Mach_Input!$B30*Mach_Input!R30)</f>
        <v>0</v>
      </c>
      <c r="S30" s="236">
        <f>IF(Mach_Input!G30="","",Mach_Input!$G30*Mach_Input!R30)</f>
        <v>0</v>
      </c>
      <c r="T30" s="236">
        <f>IF(Mach_Input!G30="","",Mach_Input!$H30*Mach_Input!R30)</f>
        <v>0</v>
      </c>
      <c r="U30" s="233"/>
      <c r="V30" s="519">
        <f>IF(Mach_Input!G30="","",Mach_Input!$B30*Mach_Input!T30)</f>
        <v>0</v>
      </c>
      <c r="W30" s="236">
        <f>IF(Mach_Input!G30="","",Mach_Input!$G30*Mach_Input!T30)</f>
        <v>0</v>
      </c>
      <c r="X30" s="236">
        <f>IF(Mach_Input!G30="","",Mach_Input!$H30*Mach_Input!T30)</f>
        <v>0</v>
      </c>
      <c r="Y30" s="233"/>
    </row>
    <row r="31" spans="1:25" ht="12.75">
      <c r="A31" s="235" t="str">
        <f>IF(Mach_Input!A31="","",Mach_Input!A31)</f>
        <v>Offset Disk</v>
      </c>
      <c r="B31" s="236">
        <f>IF(Mach_Input!G31="","",Mach_Input!$B31*Mach_Input!J31)</f>
        <v>0</v>
      </c>
      <c r="C31" s="236">
        <f>IF(Mach_Input!G31="","",Mach_Input!$G31*Mach_Input!J31)</f>
        <v>0</v>
      </c>
      <c r="D31" s="236">
        <f>IF(Mach_Input!G31="","",Mach_Input!$H31*Mach_Input!J31)</f>
        <v>0</v>
      </c>
      <c r="E31" s="233"/>
      <c r="F31" s="236">
        <f>IF(Mach_Input!G31="","",Mach_Input!$B31*Mach_Input!L31)</f>
        <v>5000</v>
      </c>
      <c r="G31" s="236">
        <f>IF(Mach_Input!G31="","",Mach_Input!$G31*Mach_Input!L31)</f>
        <v>1000</v>
      </c>
      <c r="H31" s="236">
        <f>IF(Mach_Input!G31="","",Mach_Input!$H31*Mach_Input!L31)</f>
        <v>700</v>
      </c>
      <c r="I31" s="233"/>
      <c r="J31" s="236">
        <f>IF(Mach_Input!G31="","",Mach_Input!$B31*Mach_Input!N31)</f>
        <v>5000</v>
      </c>
      <c r="K31" s="236">
        <f>IF(Mach_Input!G31="","",Mach_Input!$G31*Mach_Input!N31)</f>
        <v>1000</v>
      </c>
      <c r="L31" s="236">
        <f>IF(Mach_Input!G31="","",Mach_Input!$H31*Mach_Input!N31)</f>
        <v>700</v>
      </c>
      <c r="M31" s="233"/>
      <c r="N31" s="519">
        <f>IF(Mach_Input!G31="","",Mach_Input!$B31*Mach_Input!P31)</f>
        <v>0</v>
      </c>
      <c r="O31" s="236">
        <f>IF(Mach_Input!G31="","",Mach_Input!$G31*Mach_Input!P31)</f>
        <v>0</v>
      </c>
      <c r="P31" s="236">
        <f>IF(Mach_Input!G31="","",Mach_Input!$H31*Mach_Input!P31)</f>
        <v>0</v>
      </c>
      <c r="Q31" s="233"/>
      <c r="R31" s="519">
        <f>IF(Mach_Input!G31="","",Mach_Input!$B31*Mach_Input!R31)</f>
        <v>0</v>
      </c>
      <c r="S31" s="236">
        <f>IF(Mach_Input!G31="","",Mach_Input!$G31*Mach_Input!R31)</f>
        <v>0</v>
      </c>
      <c r="T31" s="236">
        <f>IF(Mach_Input!G31="","",Mach_Input!$H31*Mach_Input!R31)</f>
        <v>0</v>
      </c>
      <c r="U31" s="233"/>
      <c r="V31" s="519">
        <f>IF(Mach_Input!G31="","",Mach_Input!$B31*Mach_Input!T31)</f>
        <v>0</v>
      </c>
      <c r="W31" s="236">
        <f>IF(Mach_Input!G31="","",Mach_Input!$G31*Mach_Input!T31)</f>
        <v>0</v>
      </c>
      <c r="X31" s="236">
        <f>IF(Mach_Input!G31="","",Mach_Input!$H31*Mach_Input!T31)</f>
        <v>0</v>
      </c>
      <c r="Y31" s="233"/>
    </row>
    <row r="32" spans="1:25" ht="12.75">
      <c r="A32" s="235" t="str">
        <f>IF(Mach_Input!A32="","",Mach_Input!A32)</f>
        <v> </v>
      </c>
      <c r="B32" s="236">
        <f>IF(Mach_Input!G32="","",Mach_Input!$B32*Mach_Input!J32)</f>
      </c>
      <c r="C32" s="236">
        <f>IF(Mach_Input!G32="","",Mach_Input!$G32*Mach_Input!J32)</f>
      </c>
      <c r="D32" s="236">
        <f>IF(Mach_Input!G32="","",Mach_Input!$H32*Mach_Input!J32)</f>
      </c>
      <c r="E32" s="233"/>
      <c r="F32" s="236">
        <f>IF(Mach_Input!G32="","",Mach_Input!$B32*Mach_Input!L32)</f>
      </c>
      <c r="G32" s="236">
        <f>IF(Mach_Input!G32="","",Mach_Input!$G32*Mach_Input!L32)</f>
      </c>
      <c r="H32" s="236">
        <f>IF(Mach_Input!G32="","",Mach_Input!$H32*Mach_Input!L32)</f>
      </c>
      <c r="I32" s="233"/>
      <c r="J32" s="236">
        <f>IF(Mach_Input!G32="","",Mach_Input!$B32*Mach_Input!N32)</f>
      </c>
      <c r="K32" s="236">
        <f>IF(Mach_Input!G32="","",Mach_Input!$G32*Mach_Input!N32)</f>
      </c>
      <c r="L32" s="236">
        <f>IF(Mach_Input!G32="","",Mach_Input!$H32*Mach_Input!N32)</f>
      </c>
      <c r="M32" s="233"/>
      <c r="N32" s="519">
        <f>IF(Mach_Input!G32="","",Mach_Input!$B32*Mach_Input!P32)</f>
      </c>
      <c r="O32" s="236">
        <f>IF(Mach_Input!G32="","",Mach_Input!$G32*Mach_Input!P32)</f>
      </c>
      <c r="P32" s="236">
        <f>IF(Mach_Input!G32="","",Mach_Input!$H32*Mach_Input!P32)</f>
      </c>
      <c r="Q32" s="233"/>
      <c r="R32" s="519">
        <f>IF(Mach_Input!G32="","",Mach_Input!$B32*Mach_Input!R32)</f>
      </c>
      <c r="S32" s="236">
        <f>IF(Mach_Input!G32="","",Mach_Input!$G32*Mach_Input!R32)</f>
      </c>
      <c r="T32" s="236">
        <f>IF(Mach_Input!G32="","",Mach_Input!$H32*Mach_Input!R32)</f>
      </c>
      <c r="U32" s="233"/>
      <c r="V32" s="519">
        <f>IF(Mach_Input!G32="","",Mach_Input!$B32*Mach_Input!T32)</f>
      </c>
      <c r="W32" s="236">
        <f>IF(Mach_Input!G32="","",Mach_Input!$G32*Mach_Input!T32)</f>
      </c>
      <c r="X32" s="236">
        <f>IF(Mach_Input!G32="","",Mach_Input!$H32*Mach_Input!T32)</f>
      </c>
      <c r="Y32" s="233"/>
    </row>
    <row r="33" spans="1:25" ht="12.75">
      <c r="A33" s="235" t="str">
        <f>IF(Mach_Input!A33="","",Mach_Input!A33)</f>
        <v>Pickup Truck</v>
      </c>
      <c r="B33" s="236">
        <f>IF(Mach_Input!G33="","",Mach_Input!$B33*Mach_Input!J33)</f>
        <v>7500</v>
      </c>
      <c r="C33" s="236">
        <f>IF(Mach_Input!G33="","",Mach_Input!$G33*Mach_Input!J33)</f>
        <v>10750</v>
      </c>
      <c r="D33" s="236">
        <f>IF(Mach_Input!G33="","",Mach_Input!$H33*Mach_Input!J33)</f>
        <v>2062.5</v>
      </c>
      <c r="E33" s="233"/>
      <c r="F33" s="236">
        <f>IF(Mach_Input!G33="","",Mach_Input!$B33*Mach_Input!L33)</f>
        <v>3750</v>
      </c>
      <c r="G33" s="236">
        <f>IF(Mach_Input!G33="","",Mach_Input!$G33*Mach_Input!L33)</f>
        <v>5375</v>
      </c>
      <c r="H33" s="236">
        <f>IF(Mach_Input!G33="","",Mach_Input!$H33*Mach_Input!L33)</f>
        <v>1031.25</v>
      </c>
      <c r="I33" s="233"/>
      <c r="J33" s="236">
        <f>IF(Mach_Input!G33="","",Mach_Input!$B33*Mach_Input!N33)</f>
        <v>3750</v>
      </c>
      <c r="K33" s="236">
        <f>IF(Mach_Input!G33="","",Mach_Input!$G33*Mach_Input!N33)</f>
        <v>5375</v>
      </c>
      <c r="L33" s="236">
        <f>IF(Mach_Input!G33="","",Mach_Input!$H33*Mach_Input!N33)</f>
        <v>1031.25</v>
      </c>
      <c r="M33" s="233"/>
      <c r="N33" s="519">
        <f>IF(Mach_Input!G33="","",Mach_Input!$B33*Mach_Input!P33)</f>
        <v>0</v>
      </c>
      <c r="O33" s="236">
        <f>IF(Mach_Input!G33="","",Mach_Input!$G33*Mach_Input!P33)</f>
        <v>0</v>
      </c>
      <c r="P33" s="236">
        <f>IF(Mach_Input!G33="","",Mach_Input!$H33*Mach_Input!P33)</f>
        <v>0</v>
      </c>
      <c r="Q33" s="233"/>
      <c r="R33" s="519">
        <f>IF(Mach_Input!G33="","",Mach_Input!$B33*Mach_Input!R33)</f>
        <v>0</v>
      </c>
      <c r="S33" s="236">
        <f>IF(Mach_Input!G33="","",Mach_Input!$G33*Mach_Input!R33)</f>
        <v>0</v>
      </c>
      <c r="T33" s="236">
        <f>IF(Mach_Input!G33="","",Mach_Input!$H33*Mach_Input!R33)</f>
        <v>0</v>
      </c>
      <c r="U33" s="233"/>
      <c r="V33" s="519">
        <f>IF(Mach_Input!G33="","",Mach_Input!$B33*Mach_Input!T33)</f>
        <v>0</v>
      </c>
      <c r="W33" s="236">
        <f>IF(Mach_Input!G33="","",Mach_Input!$G33*Mach_Input!T33)</f>
        <v>0</v>
      </c>
      <c r="X33" s="236">
        <f>IF(Mach_Input!G33="","",Mach_Input!$H33*Mach_Input!T33)</f>
        <v>0</v>
      </c>
      <c r="Y33" s="233"/>
    </row>
    <row r="34" spans="1:25" ht="12.75">
      <c r="A34" s="235" t="str">
        <f>IF(Mach_Input!A34="","",Mach_Input!A34)</f>
        <v>Pickup Truck</v>
      </c>
      <c r="B34" s="236">
        <f>IF(Mach_Input!G34="","",Mach_Input!$B34*Mach_Input!J34)</f>
        <v>5000</v>
      </c>
      <c r="C34" s="236">
        <f>IF(Mach_Input!G34="","",Mach_Input!$G34*Mach_Input!J34)</f>
        <v>7187.5</v>
      </c>
      <c r="D34" s="236">
        <f>IF(Mach_Input!G34="","",Mach_Input!$H34*Mach_Input!J34)</f>
        <v>1562.5</v>
      </c>
      <c r="E34" s="233"/>
      <c r="F34" s="236">
        <f>IF(Mach_Input!G34="","",Mach_Input!$B34*Mach_Input!L34)</f>
        <v>2500</v>
      </c>
      <c r="G34" s="236">
        <f>IF(Mach_Input!G34="","",Mach_Input!$G34*Mach_Input!L34)</f>
        <v>3593.75</v>
      </c>
      <c r="H34" s="236">
        <f>IF(Mach_Input!G34="","",Mach_Input!$H34*Mach_Input!L34)</f>
        <v>781.25</v>
      </c>
      <c r="I34" s="233"/>
      <c r="J34" s="236">
        <f>IF(Mach_Input!G34="","",Mach_Input!$B34*Mach_Input!N34)</f>
        <v>2500</v>
      </c>
      <c r="K34" s="236">
        <f>IF(Mach_Input!G34="","",Mach_Input!$G34*Mach_Input!N34)</f>
        <v>3593.75</v>
      </c>
      <c r="L34" s="236">
        <f>IF(Mach_Input!G34="","",Mach_Input!$H34*Mach_Input!N34)</f>
        <v>781.25</v>
      </c>
      <c r="M34" s="233"/>
      <c r="N34" s="519">
        <f>IF(Mach_Input!G34="","",Mach_Input!$B34*Mach_Input!P34)</f>
        <v>0</v>
      </c>
      <c r="O34" s="236">
        <f>IF(Mach_Input!G34="","",Mach_Input!$G34*Mach_Input!P34)</f>
        <v>0</v>
      </c>
      <c r="P34" s="236">
        <f>IF(Mach_Input!G34="","",Mach_Input!$H34*Mach_Input!P34)</f>
        <v>0</v>
      </c>
      <c r="Q34" s="233"/>
      <c r="R34" s="519">
        <f>IF(Mach_Input!G34="","",Mach_Input!$B34*Mach_Input!R34)</f>
        <v>0</v>
      </c>
      <c r="S34" s="236">
        <f>IF(Mach_Input!G34="","",Mach_Input!$G34*Mach_Input!R34)</f>
        <v>0</v>
      </c>
      <c r="T34" s="236">
        <f>IF(Mach_Input!G34="","",Mach_Input!$H34*Mach_Input!R34)</f>
        <v>0</v>
      </c>
      <c r="U34" s="233"/>
      <c r="V34" s="519">
        <f>IF(Mach_Input!G34="","",Mach_Input!$B34*Mach_Input!T34)</f>
        <v>0</v>
      </c>
      <c r="W34" s="236">
        <f>IF(Mach_Input!G34="","",Mach_Input!$G34*Mach_Input!T34)</f>
        <v>0</v>
      </c>
      <c r="X34" s="236">
        <f>IF(Mach_Input!G34="","",Mach_Input!$H34*Mach_Input!T34)</f>
        <v>0</v>
      </c>
      <c r="Y34" s="233"/>
    </row>
    <row r="35" spans="1:25" ht="12.75">
      <c r="A35" s="235" t="str">
        <f>IF(Mach_Input!A35="","",Mach_Input!A35)</f>
        <v> </v>
      </c>
      <c r="B35" s="236">
        <f>IF(Mach_Input!G35="","",Mach_Input!$B35*Mach_Input!J35)</f>
      </c>
      <c r="C35" s="236">
        <f>IF(Mach_Input!G35="","",Mach_Input!$G35*Mach_Input!J35)</f>
      </c>
      <c r="D35" s="236">
        <f>IF(Mach_Input!G35="","",Mach_Input!$H35*Mach_Input!J35)</f>
      </c>
      <c r="E35" s="233"/>
      <c r="F35" s="236">
        <f>IF(Mach_Input!G35="","",Mach_Input!$B35*Mach_Input!L35)</f>
      </c>
      <c r="G35" s="236">
        <f>IF(Mach_Input!G35="","",Mach_Input!$G35*Mach_Input!L35)</f>
      </c>
      <c r="H35" s="236">
        <f>IF(Mach_Input!G35="","",Mach_Input!$H35*Mach_Input!L35)</f>
      </c>
      <c r="I35" s="233"/>
      <c r="J35" s="236">
        <f>IF(Mach_Input!G35="","",Mach_Input!$B35*Mach_Input!N35)</f>
      </c>
      <c r="K35" s="236">
        <f>IF(Mach_Input!G35="","",Mach_Input!$G35*Mach_Input!N35)</f>
      </c>
      <c r="L35" s="236">
        <f>IF(Mach_Input!G35="","",Mach_Input!$H35*Mach_Input!N35)</f>
      </c>
      <c r="M35" s="233"/>
      <c r="N35" s="519">
        <f>IF(Mach_Input!G35="","",Mach_Input!$B35*Mach_Input!P35)</f>
      </c>
      <c r="O35" s="236">
        <f>IF(Mach_Input!G35="","",Mach_Input!$G35*Mach_Input!P35)</f>
      </c>
      <c r="P35" s="236">
        <f>IF(Mach_Input!G35="","",Mach_Input!$H35*Mach_Input!P35)</f>
      </c>
      <c r="Q35" s="233"/>
      <c r="R35" s="519">
        <f>IF(Mach_Input!G35="","",Mach_Input!$B35*Mach_Input!R35)</f>
      </c>
      <c r="S35" s="236">
        <f>IF(Mach_Input!G35="","",Mach_Input!$G35*Mach_Input!R35)</f>
      </c>
      <c r="T35" s="236">
        <f>IF(Mach_Input!G35="","",Mach_Input!$H35*Mach_Input!R35)</f>
      </c>
      <c r="U35" s="233"/>
      <c r="V35" s="519">
        <f>IF(Mach_Input!G35="","",Mach_Input!$B35*Mach_Input!T35)</f>
      </c>
      <c r="W35" s="236">
        <f>IF(Mach_Input!G35="","",Mach_Input!$G35*Mach_Input!T35)</f>
      </c>
      <c r="X35" s="236">
        <f>IF(Mach_Input!G35="","",Mach_Input!$H35*Mach_Input!T35)</f>
      </c>
      <c r="Y35" s="233"/>
    </row>
    <row r="36" spans="1:25" ht="12.75">
      <c r="A36" s="235">
        <f>IF(Mach_Input!A36="","",Mach_Input!A36)</f>
      </c>
      <c r="B36" s="236">
        <f>IF(Mach_Input!G36="","",Mach_Input!$B36*Mach_Input!J36)</f>
      </c>
      <c r="C36" s="236">
        <f>IF(Mach_Input!G36="","",Mach_Input!$G36*Mach_Input!J36)</f>
      </c>
      <c r="D36" s="236">
        <f>IF(Mach_Input!G36="","",Mach_Input!$H36*Mach_Input!J36)</f>
      </c>
      <c r="E36" s="233"/>
      <c r="F36" s="236">
        <f>IF(Mach_Input!G36="","",Mach_Input!$B36*Mach_Input!L36)</f>
      </c>
      <c r="G36" s="236">
        <f>IF(Mach_Input!G36="","",Mach_Input!$G36*Mach_Input!L36)</f>
      </c>
      <c r="H36" s="236">
        <f>IF(Mach_Input!G36="","",Mach_Input!$H36*Mach_Input!L36)</f>
      </c>
      <c r="I36" s="233"/>
      <c r="J36" s="236">
        <f>IF(Mach_Input!G36="","",Mach_Input!$B36*Mach_Input!N36)</f>
      </c>
      <c r="K36" s="236">
        <f>IF(Mach_Input!G36="","",Mach_Input!$G36*Mach_Input!N36)</f>
      </c>
      <c r="L36" s="236">
        <f>IF(Mach_Input!G36="","",Mach_Input!$H36*Mach_Input!N36)</f>
      </c>
      <c r="M36" s="233"/>
      <c r="N36" s="519">
        <f>IF(Mach_Input!G36="","",Mach_Input!$B36*Mach_Input!P36)</f>
      </c>
      <c r="O36" s="236">
        <f>IF(Mach_Input!G36="","",Mach_Input!$G36*Mach_Input!P36)</f>
      </c>
      <c r="P36" s="236">
        <f>IF(Mach_Input!G36="","",Mach_Input!$H36*Mach_Input!P36)</f>
      </c>
      <c r="Q36" s="233"/>
      <c r="R36" s="519">
        <f>IF(Mach_Input!G36="","",Mach_Input!$B36*Mach_Input!R36)</f>
      </c>
      <c r="S36" s="236">
        <f>IF(Mach_Input!G36="","",Mach_Input!$G36*Mach_Input!R36)</f>
      </c>
      <c r="T36" s="236">
        <f>IF(Mach_Input!G36="","",Mach_Input!$H36*Mach_Input!R36)</f>
      </c>
      <c r="U36" s="233"/>
      <c r="V36" s="519">
        <f>IF(Mach_Input!G36="","",Mach_Input!$B36*Mach_Input!T36)</f>
      </c>
      <c r="W36" s="236">
        <f>IF(Mach_Input!G36="","",Mach_Input!$G36*Mach_Input!T36)</f>
      </c>
      <c r="X36" s="236">
        <f>IF(Mach_Input!G36="","",Mach_Input!$H36*Mach_Input!T36)</f>
      </c>
      <c r="Y36" s="233"/>
    </row>
    <row r="37" spans="1:25" ht="12.75">
      <c r="A37" s="235">
        <f>IF(Mach_Input!A37="","",Mach_Input!A37)</f>
      </c>
      <c r="B37" s="236">
        <f>IF(Mach_Input!G37="","",Mach_Input!$B37*Mach_Input!J37)</f>
      </c>
      <c r="C37" s="236">
        <f>IF(Mach_Input!G37="","",Mach_Input!$G37*Mach_Input!J37)</f>
      </c>
      <c r="D37" s="236">
        <f>IF(Mach_Input!G37="","",Mach_Input!$H37*Mach_Input!J37)</f>
      </c>
      <c r="E37" s="233"/>
      <c r="F37" s="236">
        <f>IF(Mach_Input!G37="","",Mach_Input!$B37*Mach_Input!L37)</f>
      </c>
      <c r="G37" s="236">
        <f>IF(Mach_Input!G37="","",Mach_Input!$G37*Mach_Input!L37)</f>
      </c>
      <c r="H37" s="236">
        <f>IF(Mach_Input!G37="","",Mach_Input!$H37*Mach_Input!L37)</f>
      </c>
      <c r="I37" s="233"/>
      <c r="J37" s="236">
        <f>IF(Mach_Input!G37="","",Mach_Input!$B37*Mach_Input!N37)</f>
      </c>
      <c r="K37" s="236">
        <f>IF(Mach_Input!G37="","",Mach_Input!$G37*Mach_Input!N37)</f>
      </c>
      <c r="L37" s="236">
        <f>IF(Mach_Input!G37="","",Mach_Input!$H37*Mach_Input!N37)</f>
      </c>
      <c r="M37" s="233"/>
      <c r="N37" s="519">
        <f>IF(Mach_Input!G37="","",Mach_Input!$B37*Mach_Input!P37)</f>
      </c>
      <c r="O37" s="236">
        <f>IF(Mach_Input!G37="","",Mach_Input!$G37*Mach_Input!P37)</f>
      </c>
      <c r="P37" s="236">
        <f>IF(Mach_Input!G37="","",Mach_Input!$H37*Mach_Input!P37)</f>
      </c>
      <c r="Q37" s="233"/>
      <c r="R37" s="519">
        <f>IF(Mach_Input!G37="","",Mach_Input!$B37*Mach_Input!R37)</f>
      </c>
      <c r="S37" s="236">
        <f>IF(Mach_Input!G37="","",Mach_Input!$G37*Mach_Input!R37)</f>
      </c>
      <c r="T37" s="236">
        <f>IF(Mach_Input!G37="","",Mach_Input!$H37*Mach_Input!R37)</f>
      </c>
      <c r="U37" s="233"/>
      <c r="V37" s="519">
        <f>IF(Mach_Input!G37="","",Mach_Input!$B37*Mach_Input!T37)</f>
      </c>
      <c r="W37" s="236">
        <f>IF(Mach_Input!G37="","",Mach_Input!$G37*Mach_Input!T37)</f>
      </c>
      <c r="X37" s="236">
        <f>IF(Mach_Input!G37="","",Mach_Input!$H37*Mach_Input!T37)</f>
      </c>
      <c r="Y37" s="233"/>
    </row>
    <row r="38" spans="1:25" ht="12.75">
      <c r="A38" s="235">
        <f>IF(Mach_Input!A38="","",Mach_Input!A38)</f>
      </c>
      <c r="B38" s="236">
        <f>IF(Mach_Input!G38="","",Mach_Input!$B38*Mach_Input!J38)</f>
      </c>
      <c r="C38" s="236">
        <f>IF(Mach_Input!G38="","",Mach_Input!$G38*Mach_Input!J38)</f>
      </c>
      <c r="D38" s="236">
        <f>IF(Mach_Input!G38="","",Mach_Input!$H38*Mach_Input!J38)</f>
      </c>
      <c r="E38" s="233"/>
      <c r="F38" s="236">
        <f>IF(Mach_Input!G38="","",Mach_Input!$B38*Mach_Input!L38)</f>
      </c>
      <c r="G38" s="236">
        <f>IF(Mach_Input!G38="","",Mach_Input!$G38*Mach_Input!L38)</f>
      </c>
      <c r="H38" s="236">
        <f>IF(Mach_Input!G38="","",Mach_Input!$H38*Mach_Input!L38)</f>
      </c>
      <c r="I38" s="233"/>
      <c r="J38" s="236">
        <f>IF(Mach_Input!G38="","",Mach_Input!$B38*Mach_Input!N38)</f>
      </c>
      <c r="K38" s="236">
        <f>IF(Mach_Input!G38="","",Mach_Input!$G38*Mach_Input!N38)</f>
      </c>
      <c r="L38" s="236">
        <f>IF(Mach_Input!G38="","",Mach_Input!$H38*Mach_Input!N38)</f>
      </c>
      <c r="M38" s="233"/>
      <c r="N38" s="519">
        <f>IF(Mach_Input!G38="","",Mach_Input!$B38*Mach_Input!P38)</f>
      </c>
      <c r="O38" s="236">
        <f>IF(Mach_Input!G38="","",Mach_Input!$G38*Mach_Input!P38)</f>
      </c>
      <c r="P38" s="236">
        <f>IF(Mach_Input!G38="","",Mach_Input!$H38*Mach_Input!P38)</f>
      </c>
      <c r="Q38" s="233"/>
      <c r="R38" s="519">
        <f>IF(Mach_Input!G38="","",Mach_Input!$B38*Mach_Input!R38)</f>
      </c>
      <c r="S38" s="236">
        <f>IF(Mach_Input!G38="","",Mach_Input!$G38*Mach_Input!R38)</f>
      </c>
      <c r="T38" s="236">
        <f>IF(Mach_Input!G38="","",Mach_Input!$H38*Mach_Input!R38)</f>
      </c>
      <c r="U38" s="233"/>
      <c r="V38" s="519">
        <f>IF(Mach_Input!G38="","",Mach_Input!$B38*Mach_Input!T38)</f>
      </c>
      <c r="W38" s="236">
        <f>IF(Mach_Input!G38="","",Mach_Input!$G38*Mach_Input!T38)</f>
      </c>
      <c r="X38" s="236">
        <f>IF(Mach_Input!G38="","",Mach_Input!$H38*Mach_Input!T38)</f>
      </c>
      <c r="Y38" s="233"/>
    </row>
    <row r="39" spans="1:25" ht="12.75">
      <c r="A39" s="235">
        <f>IF(Mach_Input!A39="","",Mach_Input!A39)</f>
      </c>
      <c r="B39" s="236">
        <f>IF(Mach_Input!G39="","",Mach_Input!$B39*Mach_Input!J39)</f>
      </c>
      <c r="C39" s="236">
        <f>IF(Mach_Input!G39="","",Mach_Input!$G39*Mach_Input!J39)</f>
      </c>
      <c r="D39" s="236">
        <f>IF(Mach_Input!G39="","",Mach_Input!$H39*Mach_Input!J39)</f>
      </c>
      <c r="E39" s="233"/>
      <c r="F39" s="236">
        <f>IF(Mach_Input!G39="","",Mach_Input!$B39*Mach_Input!L39)</f>
      </c>
      <c r="G39" s="236">
        <f>IF(Mach_Input!G39="","",Mach_Input!$G39*Mach_Input!L39)</f>
      </c>
      <c r="H39" s="236">
        <f>IF(Mach_Input!G39="","",Mach_Input!$H39*Mach_Input!L39)</f>
      </c>
      <c r="I39" s="233"/>
      <c r="J39" s="236">
        <f>IF(Mach_Input!G39="","",Mach_Input!$B39*Mach_Input!N39)</f>
      </c>
      <c r="K39" s="236">
        <f>IF(Mach_Input!G39="","",Mach_Input!$G39*Mach_Input!N39)</f>
      </c>
      <c r="L39" s="236">
        <f>IF(Mach_Input!G39="","",Mach_Input!$H39*Mach_Input!N39)</f>
      </c>
      <c r="M39" s="233"/>
      <c r="N39" s="519">
        <f>IF(Mach_Input!G39="","",Mach_Input!$B39*Mach_Input!P39)</f>
      </c>
      <c r="O39" s="236">
        <f>IF(Mach_Input!G39="","",Mach_Input!$G39*Mach_Input!P39)</f>
      </c>
      <c r="P39" s="236">
        <f>IF(Mach_Input!G39="","",Mach_Input!$H39*Mach_Input!P39)</f>
      </c>
      <c r="Q39" s="233"/>
      <c r="R39" s="519">
        <f>IF(Mach_Input!G39="","",Mach_Input!$B39*Mach_Input!R39)</f>
      </c>
      <c r="S39" s="236">
        <f>IF(Mach_Input!G39="","",Mach_Input!$G39*Mach_Input!R39)</f>
      </c>
      <c r="T39" s="236">
        <f>IF(Mach_Input!G39="","",Mach_Input!$H39*Mach_Input!R39)</f>
      </c>
      <c r="U39" s="233"/>
      <c r="V39" s="519">
        <f>IF(Mach_Input!G39="","",Mach_Input!$B39*Mach_Input!T39)</f>
      </c>
      <c r="W39" s="236">
        <f>IF(Mach_Input!G39="","",Mach_Input!$G39*Mach_Input!T39)</f>
      </c>
      <c r="X39" s="236">
        <f>IF(Mach_Input!G39="","",Mach_Input!$H39*Mach_Input!T39)</f>
      </c>
      <c r="Y39" s="233"/>
    </row>
    <row r="40" spans="1:25" ht="12.75">
      <c r="A40" s="235">
        <f>IF(Mach_Input!A40="","",Mach_Input!A40)</f>
      </c>
      <c r="B40" s="236">
        <f>IF(Mach_Input!G40="","",Mach_Input!$B40*Mach_Input!J40)</f>
      </c>
      <c r="C40" s="236">
        <f>IF(Mach_Input!G40="","",Mach_Input!$G40*Mach_Input!J40)</f>
      </c>
      <c r="D40" s="236">
        <f>IF(Mach_Input!G40="","",Mach_Input!$H40*Mach_Input!J40)</f>
      </c>
      <c r="E40" s="233"/>
      <c r="F40" s="236">
        <f>IF(Mach_Input!G40="","",Mach_Input!$B40*Mach_Input!L40)</f>
      </c>
      <c r="G40" s="236">
        <f>IF(Mach_Input!G40="","",Mach_Input!$G40*Mach_Input!L40)</f>
      </c>
      <c r="H40" s="236">
        <f>IF(Mach_Input!G40="","",Mach_Input!$H40*Mach_Input!L40)</f>
      </c>
      <c r="I40" s="233"/>
      <c r="J40" s="236">
        <f>IF(Mach_Input!G40="","",Mach_Input!$B40*Mach_Input!N40)</f>
      </c>
      <c r="K40" s="236">
        <f>IF(Mach_Input!G40="","",Mach_Input!$G40*Mach_Input!N40)</f>
      </c>
      <c r="L40" s="236">
        <f>IF(Mach_Input!G40="","",Mach_Input!$H40*Mach_Input!N40)</f>
      </c>
      <c r="M40" s="233"/>
      <c r="N40" s="519">
        <f>IF(Mach_Input!G40="","",Mach_Input!$B40*Mach_Input!P40)</f>
      </c>
      <c r="O40" s="236">
        <f>IF(Mach_Input!G40="","",Mach_Input!$G40*Mach_Input!P40)</f>
      </c>
      <c r="P40" s="236">
        <f>IF(Mach_Input!G40="","",Mach_Input!$H40*Mach_Input!P40)</f>
      </c>
      <c r="Q40" s="233"/>
      <c r="R40" s="519">
        <f>IF(Mach_Input!G40="","",Mach_Input!$B40*Mach_Input!R40)</f>
      </c>
      <c r="S40" s="236">
        <f>IF(Mach_Input!G40="","",Mach_Input!$G40*Mach_Input!R40)</f>
      </c>
      <c r="T40" s="236">
        <f>IF(Mach_Input!G40="","",Mach_Input!$H40*Mach_Input!R40)</f>
      </c>
      <c r="U40" s="233"/>
      <c r="V40" s="519">
        <f>IF(Mach_Input!G40="","",Mach_Input!$B40*Mach_Input!T40)</f>
      </c>
      <c r="W40" s="236">
        <f>IF(Mach_Input!G40="","",Mach_Input!$G40*Mach_Input!T40)</f>
      </c>
      <c r="X40" s="236">
        <f>IF(Mach_Input!G40="","",Mach_Input!$H40*Mach_Input!T40)</f>
      </c>
      <c r="Y40" s="233"/>
    </row>
    <row r="41" spans="1:25" ht="12.75">
      <c r="A41" s="235">
        <f>IF(Mach_Input!A41="","",Mach_Input!A41)</f>
      </c>
      <c r="B41" s="236">
        <f>IF(Mach_Input!G41="","",Mach_Input!$B41*Mach_Input!J41)</f>
      </c>
      <c r="C41" s="236">
        <f>IF(Mach_Input!G41="","",Mach_Input!$G41*Mach_Input!J41)</f>
      </c>
      <c r="D41" s="236">
        <f>IF(Mach_Input!G41="","",Mach_Input!$H41*Mach_Input!J41)</f>
      </c>
      <c r="E41" s="233"/>
      <c r="F41" s="236">
        <f>IF(Mach_Input!G41="","",Mach_Input!$B41*Mach_Input!L41)</f>
      </c>
      <c r="G41" s="236">
        <f>IF(Mach_Input!G41="","",Mach_Input!$G41*Mach_Input!L41)</f>
      </c>
      <c r="H41" s="236">
        <f>IF(Mach_Input!G41="","",Mach_Input!$H41*Mach_Input!L41)</f>
      </c>
      <c r="I41" s="233"/>
      <c r="J41" s="236">
        <f>IF(Mach_Input!G41="","",Mach_Input!$B41*Mach_Input!N41)</f>
      </c>
      <c r="K41" s="236">
        <f>IF(Mach_Input!G41="","",Mach_Input!$G41*Mach_Input!N41)</f>
      </c>
      <c r="L41" s="236">
        <f>IF(Mach_Input!G41="","",Mach_Input!$H41*Mach_Input!N41)</f>
      </c>
      <c r="M41" s="233"/>
      <c r="N41" s="519">
        <f>IF(Mach_Input!G41="","",Mach_Input!$B41*Mach_Input!P41)</f>
      </c>
      <c r="O41" s="236">
        <f>IF(Mach_Input!G41="","",Mach_Input!$G41*Mach_Input!P41)</f>
      </c>
      <c r="P41" s="236">
        <f>IF(Mach_Input!G41="","",Mach_Input!$H41*Mach_Input!P41)</f>
      </c>
      <c r="Q41" s="233"/>
      <c r="R41" s="519">
        <f>IF(Mach_Input!G41="","",Mach_Input!$B41*Mach_Input!R41)</f>
      </c>
      <c r="S41" s="236">
        <f>IF(Mach_Input!G41="","",Mach_Input!$G41*Mach_Input!R41)</f>
      </c>
      <c r="T41" s="236">
        <f>IF(Mach_Input!G41="","",Mach_Input!$H41*Mach_Input!R41)</f>
      </c>
      <c r="U41" s="233"/>
      <c r="V41" s="519">
        <f>IF(Mach_Input!G41="","",Mach_Input!$B41*Mach_Input!T41)</f>
      </c>
      <c r="W41" s="236">
        <f>IF(Mach_Input!G41="","",Mach_Input!$G41*Mach_Input!T41)</f>
      </c>
      <c r="X41" s="236">
        <f>IF(Mach_Input!G41="","",Mach_Input!$H41*Mach_Input!T41)</f>
      </c>
      <c r="Y41" s="233"/>
    </row>
    <row r="42" spans="1:25" ht="12.75">
      <c r="A42" s="235" t="str">
        <f>IF(Mach_Input!A42="","",Mach_Input!A42)</f>
        <v> </v>
      </c>
      <c r="B42" s="236">
        <f>IF(Mach_Input!G42="","",Mach_Input!$B42*Mach_Input!J42)</f>
      </c>
      <c r="C42" s="236">
        <f>IF(Mach_Input!G42="","",Mach_Input!$G42*Mach_Input!J42)</f>
      </c>
      <c r="D42" s="236">
        <f>IF(Mach_Input!G42="","",Mach_Input!$H42*Mach_Input!J42)</f>
      </c>
      <c r="E42" s="233"/>
      <c r="F42" s="236">
        <f>IF(Mach_Input!G42="","",Mach_Input!$B42*Mach_Input!L42)</f>
      </c>
      <c r="G42" s="236">
        <f>IF(Mach_Input!G42="","",Mach_Input!$G42*Mach_Input!L42)</f>
      </c>
      <c r="H42" s="236">
        <f>IF(Mach_Input!G42="","",Mach_Input!$H42*Mach_Input!L42)</f>
      </c>
      <c r="I42" s="233"/>
      <c r="J42" s="236">
        <f>IF(Mach_Input!G42="","",Mach_Input!$B42*Mach_Input!N42)</f>
      </c>
      <c r="K42" s="236">
        <f>IF(Mach_Input!G42="","",Mach_Input!$G42*Mach_Input!N42)</f>
      </c>
      <c r="L42" s="236">
        <f>IF(Mach_Input!G42="","",Mach_Input!$H42*Mach_Input!N42)</f>
      </c>
      <c r="M42" s="233"/>
      <c r="N42" s="519">
        <f>IF(Mach_Input!G42="","",Mach_Input!$B42*Mach_Input!P42)</f>
      </c>
      <c r="O42" s="236">
        <f>IF(Mach_Input!G42="","",Mach_Input!$G42*Mach_Input!P42)</f>
      </c>
      <c r="P42" s="236">
        <f>IF(Mach_Input!G42="","",Mach_Input!$H42*Mach_Input!P42)</f>
      </c>
      <c r="Q42" s="233"/>
      <c r="R42" s="519">
        <f>IF(Mach_Input!G42="","",Mach_Input!$B42*Mach_Input!R42)</f>
      </c>
      <c r="S42" s="236">
        <f>IF(Mach_Input!G42="","",Mach_Input!$G42*Mach_Input!R42)</f>
      </c>
      <c r="T42" s="236">
        <f>IF(Mach_Input!G42="","",Mach_Input!$H42*Mach_Input!R42)</f>
      </c>
      <c r="U42" s="233"/>
      <c r="V42" s="519">
        <f>IF(Mach_Input!G42="","",Mach_Input!$B42*Mach_Input!T42)</f>
      </c>
      <c r="W42" s="236">
        <f>IF(Mach_Input!G42="","",Mach_Input!$G42*Mach_Input!T42)</f>
      </c>
      <c r="X42" s="236">
        <f>IF(Mach_Input!G42="","",Mach_Input!$H42*Mach_Input!T42)</f>
      </c>
      <c r="Y42" s="233"/>
    </row>
    <row r="43" spans="1:25" ht="7.5" customHeight="1">
      <c r="A43" s="237"/>
      <c r="B43" s="238"/>
      <c r="C43" s="238"/>
      <c r="D43" s="238"/>
      <c r="E43" s="239"/>
      <c r="F43" s="237"/>
      <c r="G43" s="237"/>
      <c r="H43" s="237"/>
      <c r="I43" s="233"/>
      <c r="J43" s="237"/>
      <c r="K43" s="237"/>
      <c r="L43" s="237"/>
      <c r="M43" s="233"/>
      <c r="N43" s="237"/>
      <c r="O43" s="237"/>
      <c r="P43" s="237"/>
      <c r="Q43" s="233"/>
      <c r="R43" s="575">
        <f>IF(Mach_Input!G43="","",Mach_Input!$B43*Mach_Input!R43)</f>
      </c>
      <c r="S43" s="237"/>
      <c r="T43" s="237"/>
      <c r="U43" s="233"/>
      <c r="V43" s="575">
        <f>IF(Mach_Input!G43="","",Mach_Input!$B43*Mach_Input!T43)</f>
      </c>
      <c r="W43" s="238">
        <f>IF(Mach_Input!G43="","",Mach_Input!$G43*Mach_Input!T43)</f>
      </c>
      <c r="X43" s="238">
        <f>IF(Mach_Input!G43="","",Mach_Input!$H43*Mach_Input!T43)</f>
      </c>
      <c r="Y43" s="233"/>
    </row>
    <row r="44" spans="1:25" ht="7.5" customHeight="1">
      <c r="A44" s="235"/>
      <c r="B44" s="240"/>
      <c r="C44" s="240"/>
      <c r="D44" s="240"/>
      <c r="E44" s="233"/>
      <c r="F44" s="235"/>
      <c r="G44" s="235"/>
      <c r="H44" s="235"/>
      <c r="I44" s="233"/>
      <c r="J44" s="235"/>
      <c r="K44" s="235"/>
      <c r="L44" s="235"/>
      <c r="M44" s="233"/>
      <c r="N44" s="235"/>
      <c r="O44" s="235"/>
      <c r="P44" s="235"/>
      <c r="Q44" s="233"/>
      <c r="R44" s="235"/>
      <c r="S44" s="235"/>
      <c r="T44" s="235"/>
      <c r="U44" s="233"/>
      <c r="V44" s="235"/>
      <c r="W44" s="235"/>
      <c r="X44" s="235"/>
      <c r="Y44" s="233"/>
    </row>
    <row r="45" spans="1:25" ht="12.75">
      <c r="A45" s="241" t="s">
        <v>151</v>
      </c>
      <c r="B45" s="242">
        <f>SUM(B8:B42)</f>
        <v>356825</v>
      </c>
      <c r="C45" s="242">
        <f aca="true" t="shared" si="0" ref="C45:X45">SUM(C8:C42)</f>
        <v>388086.75000000006</v>
      </c>
      <c r="D45" s="242">
        <f t="shared" si="0"/>
        <v>43556.79166666667</v>
      </c>
      <c r="E45" s="233"/>
      <c r="F45" s="242">
        <f t="shared" si="0"/>
        <v>102700</v>
      </c>
      <c r="G45" s="242">
        <f t="shared" si="0"/>
        <v>103673.74999999999</v>
      </c>
      <c r="H45" s="242">
        <f t="shared" si="0"/>
        <v>11966.666666666666</v>
      </c>
      <c r="I45" s="233"/>
      <c r="J45" s="242">
        <f t="shared" si="0"/>
        <v>95850</v>
      </c>
      <c r="K45" s="242">
        <f t="shared" si="0"/>
        <v>96418.74999999999</v>
      </c>
      <c r="L45" s="242">
        <f t="shared" si="0"/>
        <v>11185.833333333334</v>
      </c>
      <c r="M45" s="233"/>
      <c r="N45" s="242">
        <f t="shared" si="0"/>
        <v>0</v>
      </c>
      <c r="O45" s="242">
        <f t="shared" si="0"/>
        <v>0</v>
      </c>
      <c r="P45" s="242">
        <f t="shared" si="0"/>
        <v>0</v>
      </c>
      <c r="Q45" s="233"/>
      <c r="R45" s="242">
        <f t="shared" si="0"/>
        <v>0</v>
      </c>
      <c r="S45" s="242">
        <f t="shared" si="0"/>
        <v>0</v>
      </c>
      <c r="T45" s="242">
        <f t="shared" si="0"/>
        <v>0</v>
      </c>
      <c r="U45" s="233"/>
      <c r="V45" s="242">
        <f t="shared" si="0"/>
        <v>0</v>
      </c>
      <c r="W45" s="242">
        <f t="shared" si="0"/>
        <v>0</v>
      </c>
      <c r="X45" s="242">
        <f t="shared" si="0"/>
        <v>0</v>
      </c>
      <c r="Y45" s="233"/>
    </row>
    <row r="46" spans="1:25" ht="12.75">
      <c r="A46" s="243"/>
      <c r="B46" s="244"/>
      <c r="C46" s="244"/>
      <c r="D46" s="244"/>
      <c r="E46" s="233"/>
      <c r="F46" s="243"/>
      <c r="G46" s="243"/>
      <c r="H46" s="243"/>
      <c r="I46" s="233"/>
      <c r="J46" s="243"/>
      <c r="K46" s="243"/>
      <c r="L46" s="243"/>
      <c r="M46" s="233"/>
      <c r="N46" s="243"/>
      <c r="O46" s="243"/>
      <c r="P46" s="243"/>
      <c r="Q46" s="233"/>
      <c r="R46" s="243"/>
      <c r="S46" s="243"/>
      <c r="T46" s="243"/>
      <c r="U46" s="233"/>
      <c r="V46" s="243"/>
      <c r="W46" s="243"/>
      <c r="X46" s="243"/>
      <c r="Y46" s="233"/>
    </row>
    <row r="47" spans="1:25" ht="12.75">
      <c r="A47" s="245" t="s">
        <v>152</v>
      </c>
      <c r="B47" s="246">
        <f>IF(Mach_Input!J3=0,"",B45/Mach_Input!J3)</f>
        <v>713.65</v>
      </c>
      <c r="C47" s="246">
        <f>IF(Mach_Input!J3=0,"",C45/Mach_Input!J3)</f>
        <v>776.1735000000001</v>
      </c>
      <c r="D47" s="246">
        <f>IF(Mach_Input!J3=0,"",D45/Mach_Input!J3)</f>
        <v>87.11358333333334</v>
      </c>
      <c r="E47" s="233"/>
      <c r="F47" s="247">
        <f>IF(Mach_Input!L3=0,"",F45/Mach_Input!$L$3)</f>
        <v>205.4</v>
      </c>
      <c r="G47" s="247">
        <f>IF(Mach_Input!L3=0,"",G45/Mach_Input!$L$3)</f>
        <v>207.34749999999997</v>
      </c>
      <c r="H47" s="247">
        <f>IF(Mach_Input!L3=0,"",H45/Mach_Input!$L$3)</f>
        <v>23.933333333333334</v>
      </c>
      <c r="I47" s="233"/>
      <c r="J47" s="247">
        <f>IF(Mach_Input!N3=0,"",J45/Mach_Input!$N$3)</f>
        <v>191.7</v>
      </c>
      <c r="K47" s="247">
        <f>IF(Mach_Input!N3=0,"",K45/Mach_Input!$N$3)</f>
        <v>192.83749999999998</v>
      </c>
      <c r="L47" s="247">
        <f>IF(Mach_Input!N3=0,"",L45/Mach_Input!$N$3)</f>
        <v>22.371666666666666</v>
      </c>
      <c r="M47" s="233"/>
      <c r="N47" s="247">
        <f>IF(Mach_Input!P3=0,"",N45/Mach_Input!$P$3)</f>
      </c>
      <c r="O47" s="247">
        <f>IF(Mach_Input!P3=0,"",O45/Mach_Input!$P$3)</f>
      </c>
      <c r="P47" s="247">
        <f>IF(Mach_Input!P3=0,"",P45/Mach_Input!$P$3)</f>
      </c>
      <c r="Q47" s="233"/>
      <c r="R47" s="247">
        <f>IF(Mach_Input!R3=0,"",R45/Mach_Input!$R$3)</f>
      </c>
      <c r="S47" s="247">
        <f>IF(Mach_Input!R3=0,"",S45/Mach_Input!$R$3)</f>
      </c>
      <c r="T47" s="247">
        <f>IF(Mach_Input!R3=0,"",T45/Mach_Input!$R$3)</f>
      </c>
      <c r="U47" s="233"/>
      <c r="V47" s="247">
        <f>IF(Mach_Input!T3=0,"",V45/Mach_Input!$T$3)</f>
      </c>
      <c r="W47" s="247">
        <f>IF(Mach_Input!T3=0,"",W45/Mach_Input!$T$3)</f>
      </c>
      <c r="X47" s="247">
        <f>IF(Mach_Input!T3=0,"",X45/Mach_Input!$T$3)</f>
      </c>
      <c r="Y47" s="233"/>
    </row>
    <row r="48" spans="1:25" ht="12.75">
      <c r="A48" s="243"/>
      <c r="B48" s="243"/>
      <c r="C48" s="243"/>
      <c r="D48" s="248"/>
      <c r="E48" s="233"/>
      <c r="F48" s="243"/>
      <c r="G48" s="243"/>
      <c r="H48" s="243"/>
      <c r="I48" s="233"/>
      <c r="J48" s="243"/>
      <c r="K48" s="243"/>
      <c r="L48" s="243"/>
      <c r="M48" s="233"/>
      <c r="N48" s="243"/>
      <c r="O48" s="243"/>
      <c r="P48" s="243"/>
      <c r="Q48" s="233"/>
      <c r="R48" s="243"/>
      <c r="S48" s="243"/>
      <c r="T48" s="243"/>
      <c r="U48" s="233"/>
      <c r="V48" s="243"/>
      <c r="W48" s="243"/>
      <c r="X48" s="243"/>
      <c r="Y48" s="233"/>
    </row>
    <row r="49" spans="5:15" s="203" customFormat="1" ht="12.75">
      <c r="E49" s="227"/>
      <c r="F49" s="227"/>
      <c r="G49" s="227"/>
      <c r="H49" s="227"/>
      <c r="I49" s="227"/>
      <c r="J49" s="227"/>
      <c r="K49" s="227"/>
      <c r="L49" s="227"/>
      <c r="M49" s="227"/>
      <c r="N49" s="227"/>
      <c r="O49" s="227"/>
    </row>
    <row r="51" spans="13:15" s="203" customFormat="1" ht="12.75">
      <c r="M51" s="227"/>
      <c r="N51" s="227"/>
      <c r="O51" s="518"/>
    </row>
  </sheetData>
  <sheetProtection sheet="1"/>
  <mergeCells count="8">
    <mergeCell ref="W3:X3"/>
    <mergeCell ref="S3:T3"/>
    <mergeCell ref="O3:P3"/>
    <mergeCell ref="A2:C2"/>
    <mergeCell ref="A1:L1"/>
    <mergeCell ref="C3:D3"/>
    <mergeCell ref="G3:H3"/>
    <mergeCell ref="K3:L3"/>
  </mergeCells>
  <printOptions/>
  <pageMargins left="0.75" right="0.75" top="1" bottom="1" header="0.5" footer="0.5"/>
  <pageSetup fitToHeight="1" fitToWidth="1" horizontalDpi="600" verticalDpi="600" orientation="landscape" scale="47" r:id="rId1"/>
  <headerFooter alignWithMargins="0">
    <oddFooter>&amp;L&amp;F&amp;CUniversity of Idaho&amp;R&amp;A</oddFooter>
  </headerFooter>
</worksheet>
</file>

<file path=xl/worksheets/sheet16.xml><?xml version="1.0" encoding="utf-8"?>
<worksheet xmlns="http://schemas.openxmlformats.org/spreadsheetml/2006/main" xmlns:r="http://schemas.openxmlformats.org/officeDocument/2006/relationships">
  <dimension ref="B1:G11"/>
  <sheetViews>
    <sheetView zoomScalePageLayoutView="0" workbookViewId="0" topLeftCell="A1">
      <selection activeCell="B4" sqref="B4"/>
    </sheetView>
  </sheetViews>
  <sheetFormatPr defaultColWidth="9.00390625" defaultRowHeight="14.25"/>
  <cols>
    <col min="1" max="9" width="9.00390625" style="592" customWidth="1"/>
  </cols>
  <sheetData>
    <row r="1" spans="5:7" ht="14.25">
      <c r="E1" s="593" t="s">
        <v>13</v>
      </c>
      <c r="G1" s="593" t="s">
        <v>155</v>
      </c>
    </row>
    <row r="2" spans="5:7" ht="14.25">
      <c r="E2" s="593"/>
      <c r="G2" s="593"/>
    </row>
    <row r="3" spans="2:7" ht="14.25">
      <c r="B3" s="592">
        <v>4</v>
      </c>
      <c r="C3" s="592">
        <v>1</v>
      </c>
      <c r="E3" s="592">
        <f>SUM(B3:D3)</f>
        <v>5</v>
      </c>
      <c r="G3" s="592">
        <f>AVERAGE(B3:C3)</f>
        <v>2.5</v>
      </c>
    </row>
    <row r="5" spans="2:7" ht="14.25">
      <c r="B5" s="592">
        <v>100</v>
      </c>
      <c r="C5" s="592">
        <v>200</v>
      </c>
      <c r="E5" s="592">
        <f aca="true" t="shared" si="0" ref="E5:E11">SUM(B5:D5)</f>
        <v>300</v>
      </c>
      <c r="G5" s="592">
        <f aca="true" t="shared" si="1" ref="G5:G11">AVERAGE(B5:C5)</f>
        <v>150</v>
      </c>
    </row>
    <row r="7" spans="2:7" ht="14.25">
      <c r="B7" s="592">
        <f>B3*B5</f>
        <v>400</v>
      </c>
      <c r="C7" s="592">
        <f>C3*C5</f>
        <v>200</v>
      </c>
      <c r="E7" s="592">
        <f t="shared" si="0"/>
        <v>600</v>
      </c>
      <c r="G7" s="592">
        <f t="shared" si="1"/>
        <v>300</v>
      </c>
    </row>
    <row r="9" spans="2:7" ht="14.25">
      <c r="B9" s="594">
        <v>0.2</v>
      </c>
      <c r="C9" s="594">
        <v>0.3</v>
      </c>
      <c r="E9" s="595"/>
      <c r="G9" s="592">
        <f t="shared" si="1"/>
        <v>0.25</v>
      </c>
    </row>
    <row r="11" spans="2:7" ht="14.25">
      <c r="B11" s="592">
        <f>B7*B9</f>
        <v>80</v>
      </c>
      <c r="C11" s="592">
        <f>C7*C9</f>
        <v>60</v>
      </c>
      <c r="E11" s="592">
        <f t="shared" si="0"/>
        <v>140</v>
      </c>
      <c r="G11" s="592">
        <f t="shared" si="1"/>
        <v>70</v>
      </c>
    </row>
  </sheetData>
  <sheetProtection/>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Q410"/>
  <sheetViews>
    <sheetView showGridLines="0" zoomScalePageLayoutView="0" workbookViewId="0" topLeftCell="A1">
      <selection activeCell="A7" sqref="A7"/>
    </sheetView>
  </sheetViews>
  <sheetFormatPr defaultColWidth="9.75390625" defaultRowHeight="14.25"/>
  <cols>
    <col min="1" max="1" width="23.25390625" style="1" customWidth="1"/>
    <col min="2" max="2" width="11.875" style="1" customWidth="1"/>
    <col min="3" max="3" width="12.25390625" style="1" customWidth="1"/>
    <col min="4" max="4" width="13.375" style="1" customWidth="1"/>
    <col min="5" max="5" width="12.625" style="1" customWidth="1"/>
    <col min="6" max="6" width="12.75390625" style="1" customWidth="1"/>
    <col min="7" max="7" width="12.375" style="1" customWidth="1"/>
    <col min="8" max="8" width="13.50390625" style="1" customWidth="1"/>
    <col min="9" max="9" width="12.00390625" style="1" customWidth="1"/>
    <col min="10" max="16384" width="9.75390625" style="1" customWidth="1"/>
  </cols>
  <sheetData>
    <row r="1" spans="1:11" ht="15">
      <c r="A1" s="3"/>
      <c r="B1" s="3"/>
      <c r="C1" s="3"/>
      <c r="D1" s="3"/>
      <c r="E1" s="3"/>
      <c r="F1" s="3"/>
      <c r="G1" s="3"/>
      <c r="H1" s="3"/>
      <c r="I1" s="3"/>
      <c r="J1" s="3"/>
      <c r="K1" s="3"/>
    </row>
    <row r="2" spans="1:14" ht="23.25">
      <c r="A2" s="3"/>
      <c r="B2" s="703" t="s">
        <v>1</v>
      </c>
      <c r="C2" s="704"/>
      <c r="D2" s="704"/>
      <c r="E2" s="704"/>
      <c r="F2" s="704"/>
      <c r="G2" s="704"/>
      <c r="H2" s="5"/>
      <c r="I2" s="6"/>
      <c r="J2" s="7"/>
      <c r="K2" s="7"/>
      <c r="N2" s="8"/>
    </row>
    <row r="3" spans="1:14" ht="15" customHeight="1">
      <c r="A3" s="6"/>
      <c r="B3" s="6"/>
      <c r="C3" s="6"/>
      <c r="D3" s="6"/>
      <c r="E3" s="6"/>
      <c r="F3" s="6"/>
      <c r="G3" s="6"/>
      <c r="H3" s="6"/>
      <c r="I3" s="6"/>
      <c r="J3" s="3"/>
      <c r="K3" s="7"/>
      <c r="N3" s="8"/>
    </row>
    <row r="4" spans="1:14" ht="15" customHeight="1">
      <c r="A4" s="6"/>
      <c r="B4" s="9" t="s">
        <v>25</v>
      </c>
      <c r="C4" s="4"/>
      <c r="D4" s="4"/>
      <c r="E4" s="4"/>
      <c r="F4" s="4"/>
      <c r="G4" s="4"/>
      <c r="H4" s="6"/>
      <c r="I4" s="6"/>
      <c r="J4" s="3"/>
      <c r="K4" s="7"/>
      <c r="N4" s="8"/>
    </row>
    <row r="5" spans="1:14" ht="15" customHeight="1">
      <c r="A5" s="6"/>
      <c r="B5" s="6"/>
      <c r="C5" s="6"/>
      <c r="D5" s="6"/>
      <c r="E5" s="6"/>
      <c r="F5" s="6"/>
      <c r="G5" s="6"/>
      <c r="H5" s="6"/>
      <c r="I5" s="6"/>
      <c r="J5" s="3"/>
      <c r="K5" s="7"/>
      <c r="N5" s="8"/>
    </row>
    <row r="6" spans="1:14" ht="15" customHeight="1">
      <c r="A6" s="6"/>
      <c r="B6" s="6"/>
      <c r="C6" s="6"/>
      <c r="D6" s="10"/>
      <c r="E6" s="6"/>
      <c r="F6" s="6"/>
      <c r="G6" s="6"/>
      <c r="H6" s="6"/>
      <c r="I6" s="6"/>
      <c r="J6" s="3"/>
      <c r="K6" s="7"/>
      <c r="N6" s="8"/>
    </row>
    <row r="7" spans="1:14" ht="15" customHeight="1">
      <c r="A7" s="6"/>
      <c r="B7" s="6"/>
      <c r="C7" s="6"/>
      <c r="D7" s="6"/>
      <c r="E7" s="6"/>
      <c r="F7" s="6"/>
      <c r="G7" s="6"/>
      <c r="H7" s="6"/>
      <c r="I7" s="6"/>
      <c r="J7" s="3"/>
      <c r="K7" s="7"/>
      <c r="N7" s="8"/>
    </row>
    <row r="8" spans="1:14" ht="15" customHeight="1">
      <c r="A8" s="11"/>
      <c r="B8" s="700" t="s">
        <v>2</v>
      </c>
      <c r="C8" s="701"/>
      <c r="D8" s="701"/>
      <c r="E8" s="701"/>
      <c r="F8" s="701"/>
      <c r="G8" s="702"/>
      <c r="H8" s="12"/>
      <c r="I8" s="12"/>
      <c r="J8" s="3"/>
      <c r="K8" s="7"/>
      <c r="N8" s="8"/>
    </row>
    <row r="9" spans="1:14" ht="15" customHeight="1">
      <c r="A9" s="11"/>
      <c r="B9" s="13" t="s">
        <v>3</v>
      </c>
      <c r="C9" s="13" t="s">
        <v>4</v>
      </c>
      <c r="D9" s="13" t="s">
        <v>5</v>
      </c>
      <c r="E9" s="13" t="s">
        <v>6</v>
      </c>
      <c r="F9" s="13" t="s">
        <v>7</v>
      </c>
      <c r="G9" s="13" t="s">
        <v>8</v>
      </c>
      <c r="H9" s="14"/>
      <c r="I9" s="12"/>
      <c r="J9" s="3"/>
      <c r="K9" s="7"/>
      <c r="N9" s="8"/>
    </row>
    <row r="10" spans="1:14" ht="33.75" customHeight="1">
      <c r="A10" s="15" t="s">
        <v>9</v>
      </c>
      <c r="B10" s="16" t="s">
        <v>267</v>
      </c>
      <c r="C10" s="17" t="s">
        <v>10</v>
      </c>
      <c r="D10" s="17" t="s">
        <v>11</v>
      </c>
      <c r="E10" s="17" t="s">
        <v>12</v>
      </c>
      <c r="F10" s="17" t="s">
        <v>266</v>
      </c>
      <c r="G10" s="18" t="s">
        <v>262</v>
      </c>
      <c r="H10" s="19" t="s">
        <v>13</v>
      </c>
      <c r="I10" s="12"/>
      <c r="J10" s="7"/>
      <c r="K10" s="7"/>
      <c r="N10" s="8"/>
    </row>
    <row r="11" spans="1:14" ht="3.75" customHeight="1" thickBot="1">
      <c r="A11" s="20"/>
      <c r="B11" s="21"/>
      <c r="C11" s="21"/>
      <c r="D11" s="21"/>
      <c r="E11" s="21"/>
      <c r="F11" s="21"/>
      <c r="G11" s="21"/>
      <c r="H11" s="22" t="s">
        <v>14</v>
      </c>
      <c r="I11" s="12"/>
      <c r="J11" s="7"/>
      <c r="K11" s="7"/>
      <c r="N11" s="8"/>
    </row>
    <row r="12" spans="1:14" ht="19.5" customHeight="1" thickTop="1">
      <c r="A12" s="23" t="s">
        <v>15</v>
      </c>
      <c r="B12" s="509">
        <v>100</v>
      </c>
      <c r="C12" s="509">
        <v>100</v>
      </c>
      <c r="D12" s="509">
        <v>100</v>
      </c>
      <c r="E12" s="509">
        <v>100</v>
      </c>
      <c r="F12" s="509">
        <v>100</v>
      </c>
      <c r="G12" s="510">
        <v>100</v>
      </c>
      <c r="H12" s="19">
        <f>SUM(B12:G12)</f>
        <v>600</v>
      </c>
      <c r="I12" s="12"/>
      <c r="J12" s="7"/>
      <c r="K12" s="7"/>
      <c r="N12" s="8"/>
    </row>
    <row r="13" spans="1:14" ht="19.5" customHeight="1">
      <c r="A13" s="23" t="s">
        <v>16</v>
      </c>
      <c r="B13" s="511">
        <v>350</v>
      </c>
      <c r="C13" s="511">
        <v>100</v>
      </c>
      <c r="D13" s="511">
        <v>115</v>
      </c>
      <c r="E13" s="512">
        <v>58</v>
      </c>
      <c r="F13" s="511">
        <v>180</v>
      </c>
      <c r="G13" s="513">
        <v>32</v>
      </c>
      <c r="H13" s="24"/>
      <c r="I13" s="12"/>
      <c r="J13" s="7"/>
      <c r="K13" s="7"/>
      <c r="N13" s="8"/>
    </row>
    <row r="14" spans="1:14" ht="19.5" customHeight="1">
      <c r="A14" s="23" t="s">
        <v>17</v>
      </c>
      <c r="B14" s="25">
        <v>5.75</v>
      </c>
      <c r="C14" s="25">
        <v>6</v>
      </c>
      <c r="D14" s="25">
        <v>5</v>
      </c>
      <c r="E14" s="26">
        <v>7.5</v>
      </c>
      <c r="F14" s="25">
        <v>4</v>
      </c>
      <c r="G14" s="27">
        <v>38</v>
      </c>
      <c r="H14" s="28"/>
      <c r="I14" s="12"/>
      <c r="J14" s="7"/>
      <c r="K14" s="7"/>
      <c r="N14" s="8"/>
    </row>
    <row r="15" spans="1:14" ht="19.5" customHeight="1">
      <c r="A15" s="23" t="s">
        <v>18</v>
      </c>
      <c r="B15" s="29">
        <v>0</v>
      </c>
      <c r="C15" s="30">
        <v>40</v>
      </c>
      <c r="D15" s="30">
        <v>40</v>
      </c>
      <c r="E15" s="31">
        <v>50</v>
      </c>
      <c r="F15" s="30">
        <v>0</v>
      </c>
      <c r="G15" s="32">
        <v>0</v>
      </c>
      <c r="H15" s="33"/>
      <c r="I15" s="12"/>
      <c r="J15" s="7"/>
      <c r="K15" s="7"/>
      <c r="N15" s="8"/>
    </row>
    <row r="16" spans="1:14" ht="19.5" customHeight="1">
      <c r="A16" s="34" t="s">
        <v>19</v>
      </c>
      <c r="B16" s="35">
        <f aca="true" t="shared" si="0" ref="B16:G16">B12*(B13*B14+B15)</f>
        <v>201250</v>
      </c>
      <c r="C16" s="35">
        <f t="shared" si="0"/>
        <v>64000</v>
      </c>
      <c r="D16" s="35">
        <f t="shared" si="0"/>
        <v>61500</v>
      </c>
      <c r="E16" s="35">
        <f t="shared" si="0"/>
        <v>48500</v>
      </c>
      <c r="F16" s="35">
        <f t="shared" si="0"/>
        <v>72000</v>
      </c>
      <c r="G16" s="35">
        <f t="shared" si="0"/>
        <v>121600</v>
      </c>
      <c r="H16" s="36">
        <f>SUM(B16:G16)</f>
        <v>568850</v>
      </c>
      <c r="I16" s="12"/>
      <c r="J16" s="7"/>
      <c r="K16" s="7"/>
      <c r="N16" s="8"/>
    </row>
    <row r="17" spans="1:14" ht="19.5" customHeight="1">
      <c r="A17" s="37"/>
      <c r="B17" s="12"/>
      <c r="C17" s="12"/>
      <c r="D17" s="12"/>
      <c r="E17" s="12"/>
      <c r="F17" s="12"/>
      <c r="G17" s="12"/>
      <c r="H17" s="12"/>
      <c r="I17" s="12"/>
      <c r="J17" s="7"/>
      <c r="K17" s="7"/>
      <c r="N17" s="8"/>
    </row>
    <row r="18" spans="1:14" ht="19.5" customHeight="1">
      <c r="A18" s="39"/>
      <c r="B18" s="39"/>
      <c r="C18" s="39"/>
      <c r="D18" s="39"/>
      <c r="E18" s="39"/>
      <c r="F18" s="39"/>
      <c r="G18" s="39"/>
      <c r="H18" s="11"/>
      <c r="I18" s="11"/>
      <c r="J18" s="7"/>
      <c r="K18" s="7"/>
      <c r="N18" s="8"/>
    </row>
    <row r="19" spans="1:17" ht="15.75">
      <c r="A19" s="23" t="s">
        <v>20</v>
      </c>
      <c r="B19" s="20"/>
      <c r="C19" s="20"/>
      <c r="D19" s="20"/>
      <c r="E19" s="20"/>
      <c r="F19" s="20"/>
      <c r="G19" s="20"/>
      <c r="H19" s="40"/>
      <c r="I19" s="40"/>
      <c r="J19" s="41"/>
      <c r="K19" s="41"/>
      <c r="N19" s="42"/>
      <c r="O19" s="42"/>
      <c r="P19" s="42"/>
      <c r="Q19" s="42"/>
    </row>
    <row r="20" spans="1:17" ht="15.75">
      <c r="A20" s="41" t="s">
        <v>290</v>
      </c>
      <c r="B20" s="20"/>
      <c r="C20" s="20"/>
      <c r="D20" s="20"/>
      <c r="E20" s="20"/>
      <c r="F20" s="20"/>
      <c r="G20" s="20"/>
      <c r="H20" s="43"/>
      <c r="I20" s="43"/>
      <c r="J20" s="41"/>
      <c r="K20" s="41"/>
      <c r="N20" s="42"/>
      <c r="O20" s="42"/>
      <c r="P20" s="42"/>
      <c r="Q20" s="42"/>
    </row>
    <row r="21" spans="1:17" ht="15.75">
      <c r="A21" s="41" t="s">
        <v>21</v>
      </c>
      <c r="B21" s="20"/>
      <c r="C21" s="20"/>
      <c r="D21" s="20"/>
      <c r="E21" s="20"/>
      <c r="F21" s="20"/>
      <c r="G21" s="20"/>
      <c r="H21" s="43"/>
      <c r="I21" s="43"/>
      <c r="J21" s="41"/>
      <c r="K21" s="41"/>
      <c r="N21" s="42"/>
      <c r="O21" s="42"/>
      <c r="P21" s="42"/>
      <c r="Q21" s="42"/>
    </row>
    <row r="22" spans="1:17" ht="15.75">
      <c r="A22" s="41" t="s">
        <v>22</v>
      </c>
      <c r="B22" s="20"/>
      <c r="C22" s="20"/>
      <c r="D22" s="20"/>
      <c r="E22" s="20"/>
      <c r="F22" s="20"/>
      <c r="G22" s="20"/>
      <c r="H22" s="43"/>
      <c r="I22" s="43"/>
      <c r="J22" s="41"/>
      <c r="K22" s="41"/>
      <c r="N22" s="42"/>
      <c r="O22" s="42"/>
      <c r="P22" s="42"/>
      <c r="Q22" s="42"/>
    </row>
    <row r="23" spans="1:17" ht="15.75">
      <c r="A23" s="41"/>
      <c r="B23" s="20"/>
      <c r="C23" s="20"/>
      <c r="D23" s="20"/>
      <c r="E23" s="20"/>
      <c r="F23" s="20"/>
      <c r="G23" s="20"/>
      <c r="H23" s="43"/>
      <c r="I23" s="43"/>
      <c r="J23" s="41"/>
      <c r="K23" s="41"/>
      <c r="N23" s="42"/>
      <c r="O23" s="42"/>
      <c r="P23" s="42"/>
      <c r="Q23" s="42"/>
    </row>
    <row r="24" spans="1:11" ht="15.75">
      <c r="A24" s="41" t="s">
        <v>23</v>
      </c>
      <c r="B24" s="20"/>
      <c r="C24" s="20"/>
      <c r="D24" s="20"/>
      <c r="E24" s="20"/>
      <c r="F24" s="20"/>
      <c r="G24" s="20"/>
      <c r="H24" s="20"/>
      <c r="I24" s="20"/>
      <c r="J24" s="41"/>
      <c r="K24" s="41"/>
    </row>
    <row r="25" spans="1:11" ht="15.75">
      <c r="A25" s="41" t="s">
        <v>24</v>
      </c>
      <c r="B25" s="20"/>
      <c r="C25" s="20"/>
      <c r="D25" s="20"/>
      <c r="E25" s="20"/>
      <c r="F25" s="20"/>
      <c r="G25" s="20"/>
      <c r="H25" s="20"/>
      <c r="I25" s="20"/>
      <c r="J25" s="41"/>
      <c r="K25" s="41"/>
    </row>
    <row r="26" spans="1:11" ht="15.75">
      <c r="A26" s="44" t="s">
        <v>291</v>
      </c>
      <c r="B26" s="20"/>
      <c r="C26" s="20"/>
      <c r="D26" s="20"/>
      <c r="E26" s="20"/>
      <c r="F26" s="20"/>
      <c r="G26" s="20"/>
      <c r="H26" s="20"/>
      <c r="I26" s="20"/>
      <c r="J26" s="41"/>
      <c r="K26" s="41"/>
    </row>
    <row r="27" spans="1:11" ht="15.75">
      <c r="A27" s="41"/>
      <c r="B27" s="20"/>
      <c r="C27" s="20"/>
      <c r="D27" s="20"/>
      <c r="E27" s="20"/>
      <c r="F27" s="20"/>
      <c r="G27" s="20"/>
      <c r="H27" s="20"/>
      <c r="I27" s="20"/>
      <c r="J27" s="41"/>
      <c r="K27" s="41"/>
    </row>
    <row r="28" spans="2:11" ht="15.75">
      <c r="B28" s="20"/>
      <c r="C28" s="20"/>
      <c r="D28" s="20"/>
      <c r="E28" s="20"/>
      <c r="F28" s="20"/>
      <c r="G28" s="20"/>
      <c r="H28" s="20"/>
      <c r="I28" s="20"/>
      <c r="J28" s="41"/>
      <c r="K28" s="41"/>
    </row>
    <row r="29" spans="2:11" ht="15.75">
      <c r="B29" s="20"/>
      <c r="C29" s="20"/>
      <c r="D29" s="20"/>
      <c r="E29" s="20"/>
      <c r="F29" s="20"/>
      <c r="G29" s="20"/>
      <c r="H29" s="20"/>
      <c r="I29" s="20"/>
      <c r="J29" s="41"/>
      <c r="K29" s="41"/>
    </row>
    <row r="30" spans="1:11" ht="15.75">
      <c r="A30" s="41"/>
      <c r="B30" s="20"/>
      <c r="C30" s="20"/>
      <c r="D30" s="20"/>
      <c r="E30" s="20"/>
      <c r="F30" s="20"/>
      <c r="G30" s="20"/>
      <c r="H30" s="20"/>
      <c r="I30" s="20"/>
      <c r="J30" s="41"/>
      <c r="K30" s="41"/>
    </row>
    <row r="31" spans="2:11" ht="15.75">
      <c r="B31" s="20"/>
      <c r="C31" s="20"/>
      <c r="D31" s="20"/>
      <c r="E31" s="20"/>
      <c r="F31" s="20"/>
      <c r="G31" s="20"/>
      <c r="H31" s="20"/>
      <c r="I31" s="20"/>
      <c r="J31" s="41"/>
      <c r="K31" s="41"/>
    </row>
    <row r="32" spans="10:11" ht="15">
      <c r="J32" s="41"/>
      <c r="K32" s="41"/>
    </row>
    <row r="33" spans="10:11" ht="15">
      <c r="J33" s="41"/>
      <c r="K33" s="41"/>
    </row>
    <row r="34" spans="10:11" ht="15">
      <c r="J34" s="41"/>
      <c r="K34" s="41"/>
    </row>
    <row r="35" spans="10:11" ht="15">
      <c r="J35" s="41"/>
      <c r="K35" s="41"/>
    </row>
    <row r="36" spans="10:11" ht="15">
      <c r="J36" s="41"/>
      <c r="K36" s="41"/>
    </row>
    <row r="37" spans="10:11" ht="15">
      <c r="J37" s="41"/>
      <c r="K37" s="41"/>
    </row>
    <row r="38" spans="10:11" ht="15">
      <c r="J38" s="41"/>
      <c r="K38" s="41"/>
    </row>
    <row r="39" spans="10:11" ht="15">
      <c r="J39" s="41"/>
      <c r="K39" s="41"/>
    </row>
    <row r="40" spans="10:11" ht="15">
      <c r="J40" s="41"/>
      <c r="K40" s="41"/>
    </row>
    <row r="41" spans="10:11" ht="15">
      <c r="J41" s="41"/>
      <c r="K41" s="41"/>
    </row>
    <row r="42" spans="10:11" ht="15">
      <c r="J42" s="41"/>
      <c r="K42" s="41"/>
    </row>
    <row r="43" ht="15">
      <c r="K43" s="41"/>
    </row>
    <row r="44" ht="15">
      <c r="K44" s="41"/>
    </row>
    <row r="45" ht="15">
      <c r="K45" s="41"/>
    </row>
    <row r="46" ht="15">
      <c r="K46" s="41"/>
    </row>
    <row r="47" ht="15">
      <c r="K47" s="41"/>
    </row>
    <row r="48" ht="15">
      <c r="K48" s="41"/>
    </row>
    <row r="49" ht="15">
      <c r="K49" s="41"/>
    </row>
    <row r="50" ht="15">
      <c r="K50" s="41"/>
    </row>
    <row r="51" ht="15">
      <c r="K51" s="41"/>
    </row>
    <row r="52" ht="15">
      <c r="K52" s="41"/>
    </row>
    <row r="53" ht="15">
      <c r="K53" s="41"/>
    </row>
    <row r="54" ht="15">
      <c r="K54" s="41"/>
    </row>
    <row r="55" ht="15">
      <c r="K55" s="41"/>
    </row>
    <row r="56" ht="15">
      <c r="K56" s="41"/>
    </row>
    <row r="57" ht="15">
      <c r="K57" s="41"/>
    </row>
    <row r="58" ht="15">
      <c r="K58" s="41"/>
    </row>
    <row r="59" ht="15">
      <c r="K59" s="41"/>
    </row>
    <row r="60" ht="15">
      <c r="K60" s="41"/>
    </row>
    <row r="61" ht="15">
      <c r="K61" s="41"/>
    </row>
    <row r="62" ht="15">
      <c r="K62" s="41"/>
    </row>
    <row r="63" ht="15">
      <c r="K63" s="41"/>
    </row>
    <row r="64" ht="15">
      <c r="K64" s="41"/>
    </row>
    <row r="65" ht="15">
      <c r="K65" s="41"/>
    </row>
    <row r="66" ht="15">
      <c r="K66" s="41"/>
    </row>
    <row r="67" ht="15">
      <c r="K67" s="41"/>
    </row>
    <row r="68" ht="15">
      <c r="K68" s="41"/>
    </row>
    <row r="69" ht="15">
      <c r="K69" s="41"/>
    </row>
    <row r="70" ht="15">
      <c r="K70" s="41"/>
    </row>
    <row r="71" ht="15">
      <c r="K71" s="41"/>
    </row>
    <row r="72" ht="15">
      <c r="K72" s="41"/>
    </row>
    <row r="73" ht="15">
      <c r="K73" s="41"/>
    </row>
    <row r="74" ht="15">
      <c r="K74" s="41"/>
    </row>
    <row r="75" ht="15">
      <c r="K75" s="41"/>
    </row>
    <row r="76" ht="15">
      <c r="K76" s="41"/>
    </row>
    <row r="77" ht="15">
      <c r="K77" s="41"/>
    </row>
    <row r="78" ht="15">
      <c r="K78" s="41"/>
    </row>
    <row r="79" ht="15">
      <c r="K79" s="41"/>
    </row>
    <row r="80" ht="15">
      <c r="K80" s="41"/>
    </row>
    <row r="81" ht="15">
      <c r="K81" s="41"/>
    </row>
    <row r="82" ht="15">
      <c r="K82" s="41"/>
    </row>
    <row r="83" ht="15">
      <c r="K83" s="41"/>
    </row>
    <row r="84" ht="15">
      <c r="K84" s="41"/>
    </row>
    <row r="85" ht="15">
      <c r="K85" s="41"/>
    </row>
    <row r="86" ht="15">
      <c r="K86" s="41"/>
    </row>
    <row r="87" ht="15">
      <c r="K87" s="41"/>
    </row>
    <row r="88" ht="15">
      <c r="K88" s="41"/>
    </row>
    <row r="89" ht="15">
      <c r="K89" s="41"/>
    </row>
    <row r="90" ht="15">
      <c r="K90" s="41"/>
    </row>
    <row r="91" ht="15">
      <c r="K91" s="41"/>
    </row>
    <row r="92" ht="15">
      <c r="K92" s="41"/>
    </row>
    <row r="93" ht="15">
      <c r="K93" s="41"/>
    </row>
    <row r="94" ht="15">
      <c r="K94" s="41"/>
    </row>
    <row r="95" ht="15">
      <c r="K95" s="41"/>
    </row>
    <row r="96" ht="15">
      <c r="K96" s="41"/>
    </row>
    <row r="97" ht="15">
      <c r="K97" s="41"/>
    </row>
    <row r="98" ht="15">
      <c r="K98" s="41"/>
    </row>
    <row r="99" ht="15">
      <c r="K99" s="41"/>
    </row>
    <row r="100" ht="15">
      <c r="K100" s="41"/>
    </row>
    <row r="101" ht="15">
      <c r="K101" s="41"/>
    </row>
    <row r="102" ht="15">
      <c r="K102" s="41"/>
    </row>
    <row r="103" ht="15">
      <c r="K103" s="41"/>
    </row>
    <row r="104" ht="15">
      <c r="K104" s="41"/>
    </row>
    <row r="105" ht="15">
      <c r="K105" s="41"/>
    </row>
    <row r="106" ht="15">
      <c r="K106" s="41"/>
    </row>
    <row r="107" ht="15">
      <c r="K107" s="41"/>
    </row>
    <row r="108" ht="15">
      <c r="K108" s="41"/>
    </row>
    <row r="109" ht="15">
      <c r="K109" s="41"/>
    </row>
    <row r="110" ht="15">
      <c r="K110" s="41"/>
    </row>
    <row r="111" ht="15">
      <c r="K111" s="41"/>
    </row>
    <row r="112" ht="15">
      <c r="K112" s="41"/>
    </row>
    <row r="113" ht="15">
      <c r="K113" s="41"/>
    </row>
    <row r="114" ht="15">
      <c r="K114" s="41"/>
    </row>
    <row r="115" ht="15">
      <c r="K115" s="41"/>
    </row>
    <row r="116" ht="15">
      <c r="K116" s="41"/>
    </row>
    <row r="117" ht="15">
      <c r="K117" s="41"/>
    </row>
    <row r="118" ht="15">
      <c r="K118" s="41"/>
    </row>
    <row r="119" ht="15">
      <c r="K119" s="41"/>
    </row>
    <row r="120" ht="15">
      <c r="K120" s="41"/>
    </row>
    <row r="121" ht="15">
      <c r="K121" s="41"/>
    </row>
    <row r="122" ht="15">
      <c r="K122" s="41"/>
    </row>
    <row r="123" ht="15">
      <c r="K123" s="41"/>
    </row>
    <row r="124" ht="15">
      <c r="K124" s="41"/>
    </row>
    <row r="125" ht="15">
      <c r="K125" s="41"/>
    </row>
    <row r="126" ht="15">
      <c r="K126" s="41"/>
    </row>
    <row r="127" ht="15">
      <c r="K127" s="41"/>
    </row>
    <row r="128" ht="15">
      <c r="K128" s="41"/>
    </row>
    <row r="129" ht="15">
      <c r="K129" s="41"/>
    </row>
    <row r="130" ht="15">
      <c r="K130" s="41"/>
    </row>
    <row r="131" ht="15">
      <c r="K131" s="41"/>
    </row>
    <row r="132" ht="15">
      <c r="K132" s="41"/>
    </row>
    <row r="133" ht="15">
      <c r="K133" s="41"/>
    </row>
    <row r="134" ht="15">
      <c r="K134" s="41"/>
    </row>
    <row r="135" ht="15">
      <c r="K135" s="41"/>
    </row>
    <row r="136" ht="15">
      <c r="K136" s="41"/>
    </row>
    <row r="137" ht="15">
      <c r="K137" s="41"/>
    </row>
    <row r="138" ht="15">
      <c r="K138" s="41"/>
    </row>
    <row r="139" ht="15">
      <c r="K139" s="41"/>
    </row>
    <row r="140" ht="15">
      <c r="K140" s="41"/>
    </row>
    <row r="141" ht="15">
      <c r="K141" s="41"/>
    </row>
    <row r="142" ht="15">
      <c r="K142" s="41"/>
    </row>
    <row r="143" ht="15">
      <c r="K143" s="41"/>
    </row>
    <row r="144" ht="15">
      <c r="K144" s="41"/>
    </row>
    <row r="145" ht="15">
      <c r="K145" s="41"/>
    </row>
    <row r="146" ht="15">
      <c r="K146" s="41"/>
    </row>
    <row r="147" ht="15">
      <c r="K147" s="41"/>
    </row>
    <row r="148" ht="15">
      <c r="K148" s="41"/>
    </row>
    <row r="149" ht="15">
      <c r="K149" s="41"/>
    </row>
    <row r="150" ht="15">
      <c r="K150" s="41"/>
    </row>
    <row r="151" ht="15">
      <c r="K151" s="41"/>
    </row>
    <row r="152" ht="15">
      <c r="K152" s="41"/>
    </row>
    <row r="153" ht="15">
      <c r="K153" s="41"/>
    </row>
    <row r="154" ht="15">
      <c r="K154" s="41"/>
    </row>
    <row r="155" ht="15">
      <c r="K155" s="41"/>
    </row>
    <row r="156" ht="15">
      <c r="K156" s="41"/>
    </row>
    <row r="157" ht="15">
      <c r="K157" s="41"/>
    </row>
    <row r="158" ht="15">
      <c r="K158" s="41"/>
    </row>
    <row r="159" ht="15">
      <c r="K159" s="41"/>
    </row>
    <row r="160" ht="15">
      <c r="K160" s="41"/>
    </row>
    <row r="161" ht="15">
      <c r="K161" s="41"/>
    </row>
    <row r="162" ht="15">
      <c r="K162" s="41"/>
    </row>
    <row r="163" ht="15">
      <c r="K163" s="41"/>
    </row>
    <row r="164" ht="15">
      <c r="K164" s="41"/>
    </row>
    <row r="165" ht="15">
      <c r="K165" s="41"/>
    </row>
    <row r="166" ht="15">
      <c r="K166" s="41"/>
    </row>
    <row r="167" ht="15">
      <c r="K167" s="41"/>
    </row>
    <row r="168" ht="15">
      <c r="K168" s="41"/>
    </row>
    <row r="169" ht="15">
      <c r="K169" s="41"/>
    </row>
    <row r="170" ht="15">
      <c r="K170" s="41"/>
    </row>
    <row r="171" ht="15">
      <c r="K171" s="41"/>
    </row>
    <row r="172" ht="15">
      <c r="K172" s="41"/>
    </row>
    <row r="173" ht="15">
      <c r="K173" s="41"/>
    </row>
    <row r="174" ht="15">
      <c r="K174" s="41"/>
    </row>
    <row r="175" ht="15">
      <c r="K175" s="41"/>
    </row>
    <row r="176" ht="15">
      <c r="K176" s="41"/>
    </row>
    <row r="177" ht="15">
      <c r="K177" s="41"/>
    </row>
    <row r="178" ht="15">
      <c r="K178" s="41"/>
    </row>
    <row r="179" ht="15">
      <c r="K179" s="41"/>
    </row>
    <row r="180" ht="15">
      <c r="K180" s="41"/>
    </row>
    <row r="181" ht="15">
      <c r="K181" s="41"/>
    </row>
    <row r="182" ht="15">
      <c r="K182" s="41"/>
    </row>
    <row r="183" ht="15">
      <c r="K183" s="41"/>
    </row>
    <row r="184" ht="15">
      <c r="K184" s="41"/>
    </row>
    <row r="185" ht="15">
      <c r="K185" s="41"/>
    </row>
    <row r="186" ht="15">
      <c r="K186" s="41"/>
    </row>
    <row r="187" ht="15">
      <c r="K187" s="41"/>
    </row>
    <row r="188" ht="15">
      <c r="K188" s="41"/>
    </row>
    <row r="189" ht="15">
      <c r="K189" s="41"/>
    </row>
    <row r="190" ht="15">
      <c r="K190" s="41"/>
    </row>
    <row r="191" ht="15">
      <c r="K191" s="41"/>
    </row>
    <row r="192" ht="15">
      <c r="K192" s="41"/>
    </row>
    <row r="193" ht="15">
      <c r="K193" s="41"/>
    </row>
    <row r="194" ht="15">
      <c r="K194" s="41"/>
    </row>
    <row r="195" ht="15">
      <c r="K195" s="41"/>
    </row>
    <row r="196" ht="15">
      <c r="K196" s="41"/>
    </row>
    <row r="197" ht="15">
      <c r="K197" s="41"/>
    </row>
    <row r="198" ht="15">
      <c r="K198" s="41"/>
    </row>
    <row r="199" ht="15">
      <c r="K199" s="41"/>
    </row>
    <row r="200" ht="15">
      <c r="K200" s="41"/>
    </row>
    <row r="201" ht="15">
      <c r="K201" s="41"/>
    </row>
    <row r="202" ht="15">
      <c r="K202" s="41"/>
    </row>
    <row r="203" ht="15">
      <c r="K203" s="41"/>
    </row>
    <row r="204" ht="15">
      <c r="K204" s="41"/>
    </row>
    <row r="205" ht="15">
      <c r="K205" s="41"/>
    </row>
    <row r="206" ht="15">
      <c r="K206" s="41"/>
    </row>
    <row r="207" ht="15">
      <c r="K207" s="41"/>
    </row>
    <row r="208" ht="15">
      <c r="K208" s="41"/>
    </row>
    <row r="209" ht="15">
      <c r="K209" s="41"/>
    </row>
    <row r="210" ht="15">
      <c r="K210" s="41"/>
    </row>
    <row r="211" ht="15">
      <c r="K211" s="41"/>
    </row>
    <row r="212" ht="15">
      <c r="K212" s="41"/>
    </row>
    <row r="213" ht="15">
      <c r="K213" s="41"/>
    </row>
    <row r="214" ht="15">
      <c r="K214" s="41"/>
    </row>
    <row r="215" ht="15">
      <c r="K215" s="41"/>
    </row>
    <row r="216" ht="15">
      <c r="K216" s="41"/>
    </row>
    <row r="217" ht="15">
      <c r="K217" s="41"/>
    </row>
    <row r="218" ht="15">
      <c r="K218" s="41"/>
    </row>
    <row r="219" ht="15">
      <c r="K219" s="41"/>
    </row>
    <row r="220" ht="15">
      <c r="K220" s="41"/>
    </row>
    <row r="221" ht="15">
      <c r="K221" s="41"/>
    </row>
    <row r="222" ht="15">
      <c r="K222" s="41"/>
    </row>
    <row r="223" ht="15">
      <c r="K223" s="41"/>
    </row>
    <row r="224" ht="15">
      <c r="K224" s="41"/>
    </row>
    <row r="225" ht="15">
      <c r="K225" s="41"/>
    </row>
    <row r="226" ht="15">
      <c r="K226" s="41"/>
    </row>
    <row r="227" ht="15">
      <c r="K227" s="41"/>
    </row>
    <row r="228" ht="15">
      <c r="K228" s="41"/>
    </row>
    <row r="229" ht="15">
      <c r="K229" s="41"/>
    </row>
    <row r="230" ht="15">
      <c r="K230" s="41"/>
    </row>
    <row r="231" ht="15">
      <c r="K231" s="41"/>
    </row>
    <row r="232" ht="15">
      <c r="K232" s="41"/>
    </row>
    <row r="233" ht="15">
      <c r="K233" s="41"/>
    </row>
    <row r="234" ht="15">
      <c r="K234" s="41"/>
    </row>
    <row r="235" ht="15">
      <c r="K235" s="41"/>
    </row>
    <row r="236" ht="15">
      <c r="K236" s="41"/>
    </row>
    <row r="237" ht="15">
      <c r="K237" s="41"/>
    </row>
    <row r="238" ht="15">
      <c r="K238" s="41"/>
    </row>
    <row r="239" ht="15">
      <c r="K239" s="41"/>
    </row>
    <row r="240" ht="15">
      <c r="K240" s="41"/>
    </row>
    <row r="241" ht="15">
      <c r="K241" s="41"/>
    </row>
    <row r="242" ht="15">
      <c r="K242" s="41"/>
    </row>
    <row r="243" ht="15">
      <c r="K243" s="41"/>
    </row>
    <row r="244" ht="15">
      <c r="K244" s="41"/>
    </row>
    <row r="245" ht="15">
      <c r="K245" s="41"/>
    </row>
    <row r="246" ht="15">
      <c r="K246" s="41"/>
    </row>
    <row r="247" ht="15">
      <c r="K247" s="41"/>
    </row>
    <row r="248" ht="15">
      <c r="K248" s="41"/>
    </row>
    <row r="249" ht="15">
      <c r="K249" s="41"/>
    </row>
    <row r="250" ht="15">
      <c r="K250" s="41"/>
    </row>
    <row r="251" ht="15">
      <c r="K251" s="41"/>
    </row>
    <row r="252" ht="15">
      <c r="K252" s="41"/>
    </row>
    <row r="253" ht="15">
      <c r="K253" s="41"/>
    </row>
    <row r="254" ht="15">
      <c r="K254" s="41"/>
    </row>
    <row r="255" ht="15">
      <c r="K255" s="41"/>
    </row>
    <row r="256" ht="15">
      <c r="K256" s="41"/>
    </row>
    <row r="257" ht="15">
      <c r="K257" s="41"/>
    </row>
    <row r="258" ht="15">
      <c r="K258" s="41"/>
    </row>
    <row r="259" ht="15">
      <c r="K259" s="41"/>
    </row>
    <row r="260" ht="15">
      <c r="K260" s="41"/>
    </row>
    <row r="261" ht="15">
      <c r="K261" s="41"/>
    </row>
    <row r="262" ht="15">
      <c r="K262" s="41"/>
    </row>
    <row r="263" ht="15">
      <c r="K263" s="41"/>
    </row>
    <row r="264" ht="15">
      <c r="K264" s="41"/>
    </row>
    <row r="265" ht="15">
      <c r="K265" s="41"/>
    </row>
    <row r="266" ht="15">
      <c r="K266" s="41"/>
    </row>
    <row r="267" ht="15">
      <c r="K267" s="41"/>
    </row>
    <row r="268" ht="15">
      <c r="K268" s="41"/>
    </row>
    <row r="269" ht="15">
      <c r="K269" s="41"/>
    </row>
    <row r="270" ht="15">
      <c r="K270" s="41"/>
    </row>
    <row r="271" ht="15">
      <c r="K271" s="41"/>
    </row>
    <row r="272" ht="15">
      <c r="K272" s="41"/>
    </row>
    <row r="273" ht="15">
      <c r="K273" s="41"/>
    </row>
    <row r="274" ht="15">
      <c r="K274" s="41"/>
    </row>
    <row r="275" ht="15">
      <c r="K275" s="41"/>
    </row>
    <row r="276" ht="15">
      <c r="K276" s="41"/>
    </row>
    <row r="277" ht="15">
      <c r="K277" s="41"/>
    </row>
    <row r="278" ht="15">
      <c r="K278" s="41"/>
    </row>
    <row r="279" ht="15">
      <c r="K279" s="41"/>
    </row>
    <row r="280" ht="15">
      <c r="K280" s="41"/>
    </row>
    <row r="281" ht="15">
      <c r="K281" s="41"/>
    </row>
    <row r="282" spans="10:11" ht="15">
      <c r="J282" s="41"/>
      <c r="K282" s="41"/>
    </row>
    <row r="283" spans="10:11" ht="15">
      <c r="J283" s="41"/>
      <c r="K283" s="41"/>
    </row>
    <row r="284" spans="10:11" ht="15">
      <c r="J284" s="41"/>
      <c r="K284" s="41"/>
    </row>
    <row r="285" spans="10:11" ht="15">
      <c r="J285" s="41"/>
      <c r="K285" s="41"/>
    </row>
    <row r="286" spans="10:11" ht="15">
      <c r="J286" s="41"/>
      <c r="K286" s="41"/>
    </row>
    <row r="287" spans="10:11" ht="15">
      <c r="J287" s="41"/>
      <c r="K287" s="41"/>
    </row>
    <row r="288" spans="10:11" ht="15">
      <c r="J288" s="41"/>
      <c r="K288" s="41"/>
    </row>
    <row r="289" spans="10:11" ht="15">
      <c r="J289" s="41"/>
      <c r="K289" s="41"/>
    </row>
    <row r="290" spans="10:11" ht="15">
      <c r="J290" s="41"/>
      <c r="K290" s="41"/>
    </row>
    <row r="291" spans="10:11" ht="15">
      <c r="J291" s="41"/>
      <c r="K291" s="41"/>
    </row>
    <row r="292" spans="10:11" ht="15">
      <c r="J292" s="41"/>
      <c r="K292" s="41"/>
    </row>
    <row r="293" spans="10:11" ht="15">
      <c r="J293" s="41"/>
      <c r="K293" s="41"/>
    </row>
    <row r="294" spans="10:11" ht="15">
      <c r="J294" s="41"/>
      <c r="K294" s="41"/>
    </row>
    <row r="295" spans="10:11" ht="15">
      <c r="J295" s="41"/>
      <c r="K295" s="41"/>
    </row>
    <row r="296" spans="10:11" ht="15">
      <c r="J296" s="41"/>
      <c r="K296" s="41"/>
    </row>
    <row r="297" spans="10:11" ht="15">
      <c r="J297" s="41"/>
      <c r="K297" s="41"/>
    </row>
    <row r="298" spans="10:11" ht="15">
      <c r="J298" s="41"/>
      <c r="K298" s="41"/>
    </row>
    <row r="299" spans="10:11" ht="15">
      <c r="J299" s="41"/>
      <c r="K299" s="41"/>
    </row>
    <row r="300" spans="10:11" ht="15">
      <c r="J300" s="41"/>
      <c r="K300" s="41"/>
    </row>
    <row r="301" spans="10:11" ht="15">
      <c r="J301" s="41"/>
      <c r="K301" s="41"/>
    </row>
    <row r="302" spans="10:11" ht="15">
      <c r="J302" s="41"/>
      <c r="K302" s="41"/>
    </row>
    <row r="303" spans="10:11" ht="15">
      <c r="J303" s="41"/>
      <c r="K303" s="41"/>
    </row>
    <row r="304" spans="10:11" ht="15">
      <c r="J304" s="41"/>
      <c r="K304" s="41"/>
    </row>
    <row r="305" spans="10:11" ht="15">
      <c r="J305" s="41"/>
      <c r="K305" s="41"/>
    </row>
    <row r="306" spans="10:11" ht="15">
      <c r="J306" s="41"/>
      <c r="K306" s="41"/>
    </row>
    <row r="307" spans="10:11" ht="15">
      <c r="J307" s="41"/>
      <c r="K307" s="41"/>
    </row>
    <row r="308" spans="10:11" ht="15">
      <c r="J308" s="41"/>
      <c r="K308" s="41"/>
    </row>
    <row r="401" spans="1:10" ht="15.75">
      <c r="A401" s="45"/>
      <c r="B401" s="45"/>
      <c r="C401" s="45"/>
      <c r="D401" s="45"/>
      <c r="E401" s="45"/>
      <c r="F401" s="45"/>
      <c r="G401" s="45"/>
      <c r="H401" s="45"/>
      <c r="I401" s="45"/>
      <c r="J401" s="45"/>
    </row>
    <row r="402" spans="1:10" ht="15.75">
      <c r="A402" s="45"/>
      <c r="B402" s="45"/>
      <c r="C402" s="45"/>
      <c r="D402" s="45"/>
      <c r="E402" s="45"/>
      <c r="F402" s="45"/>
      <c r="G402" s="45"/>
      <c r="H402" s="45"/>
      <c r="I402" s="45"/>
      <c r="J402" s="45"/>
    </row>
    <row r="403" spans="1:10" ht="15.75">
      <c r="A403" s="45"/>
      <c r="B403" s="45"/>
      <c r="C403" s="45"/>
      <c r="D403" s="45"/>
      <c r="E403" s="45"/>
      <c r="F403" s="45"/>
      <c r="G403" s="45"/>
      <c r="H403" s="45"/>
      <c r="I403" s="45"/>
      <c r="J403" s="45"/>
    </row>
    <row r="404" spans="1:10" ht="15.75">
      <c r="A404" s="45"/>
      <c r="B404" s="45"/>
      <c r="C404" s="45"/>
      <c r="D404" s="45"/>
      <c r="E404" s="45"/>
      <c r="F404" s="45"/>
      <c r="G404" s="45"/>
      <c r="H404" s="45"/>
      <c r="I404" s="45"/>
      <c r="J404" s="45"/>
    </row>
    <row r="405" spans="1:10" ht="15.75">
      <c r="A405" s="45"/>
      <c r="B405" s="45"/>
      <c r="C405" s="45"/>
      <c r="D405" s="45"/>
      <c r="E405" s="45"/>
      <c r="F405" s="45"/>
      <c r="G405" s="45"/>
      <c r="H405" s="45"/>
      <c r="I405" s="45"/>
      <c r="J405" s="45"/>
    </row>
    <row r="406" spans="1:10" ht="15.75">
      <c r="A406" s="45"/>
      <c r="B406" s="45"/>
      <c r="C406" s="45"/>
      <c r="D406" s="45"/>
      <c r="E406" s="45"/>
      <c r="F406" s="45"/>
      <c r="G406" s="45"/>
      <c r="H406" s="45"/>
      <c r="I406" s="45"/>
      <c r="J406" s="45"/>
    </row>
    <row r="407" spans="1:10" ht="15.75">
      <c r="A407" s="45"/>
      <c r="B407" s="45"/>
      <c r="C407" s="45"/>
      <c r="D407" s="45"/>
      <c r="E407" s="45"/>
      <c r="F407" s="45"/>
      <c r="G407" s="45"/>
      <c r="H407" s="45"/>
      <c r="I407" s="45"/>
      <c r="J407" s="45"/>
    </row>
    <row r="408" spans="1:10" ht="15.75">
      <c r="A408" s="45"/>
      <c r="B408" s="45"/>
      <c r="C408" s="45"/>
      <c r="D408" s="45"/>
      <c r="E408" s="45"/>
      <c r="F408" s="45"/>
      <c r="G408" s="45"/>
      <c r="H408" s="45"/>
      <c r="I408" s="45"/>
      <c r="J408" s="45"/>
    </row>
    <row r="409" spans="1:10" ht="15.75">
      <c r="A409" s="45"/>
      <c r="B409" s="45"/>
      <c r="C409" s="45"/>
      <c r="D409" s="45"/>
      <c r="E409" s="45"/>
      <c r="F409" s="45"/>
      <c r="G409" s="45"/>
      <c r="H409" s="45"/>
      <c r="I409" s="45"/>
      <c r="J409" s="45"/>
    </row>
    <row r="410" spans="1:10" ht="15.75">
      <c r="A410" s="45"/>
      <c r="B410" s="45"/>
      <c r="C410" s="45"/>
      <c r="D410" s="45"/>
      <c r="E410" s="45"/>
      <c r="F410" s="45"/>
      <c r="G410" s="45"/>
      <c r="H410" s="45"/>
      <c r="I410" s="45"/>
      <c r="J410" s="45"/>
    </row>
  </sheetData>
  <sheetProtection sheet="1" objects="1" scenarios="1"/>
  <mergeCells count="2">
    <mergeCell ref="B8:G8"/>
    <mergeCell ref="B2:G2"/>
  </mergeCells>
  <printOptions horizontalCentered="1"/>
  <pageMargins left="0.5" right="0.5" top="0.5" bottom="0.5" header="0.5" footer="0.5"/>
  <pageSetup fitToHeight="1" fitToWidth="1" horizontalDpi="300" verticalDpi="300" orientation="portrait" scale="61" r:id="rId3"/>
  <headerFooter alignWithMargins="0">
    <oddFooter>&amp;L&amp;F&amp;CUniversity of Idaho&amp;R&amp;A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showGridLines="0" zoomScale="85" zoomScaleNormal="85" zoomScalePageLayoutView="0" workbookViewId="0" topLeftCell="A1">
      <pane ySplit="12" topLeftCell="A13" activePane="bottomLeft" state="frozen"/>
      <selection pane="topLeft" activeCell="A1" sqref="A1"/>
      <selection pane="bottomLeft" activeCell="A1" sqref="A1"/>
    </sheetView>
  </sheetViews>
  <sheetFormatPr defaultColWidth="9.00390625" defaultRowHeight="14.25"/>
  <cols>
    <col min="1" max="1" width="8.875" style="1" customWidth="1"/>
    <col min="2" max="2" width="12.625" style="1" customWidth="1"/>
    <col min="3" max="3" width="12.75390625" style="1" customWidth="1"/>
    <col min="4" max="4" width="11.875" style="1" customWidth="1"/>
    <col min="5" max="5" width="12.125" style="1" customWidth="1"/>
    <col min="6" max="6" width="12.25390625" style="1" customWidth="1"/>
    <col min="7" max="9" width="12.75390625" style="1" customWidth="1"/>
    <col min="10" max="10" width="12.625" style="1" customWidth="1"/>
    <col min="11" max="16384" width="9.00390625" style="1" customWidth="1"/>
  </cols>
  <sheetData>
    <row r="1" spans="1:13" ht="15">
      <c r="A1" s="11"/>
      <c r="B1" s="11"/>
      <c r="C1" s="11"/>
      <c r="D1" s="11"/>
      <c r="E1" s="11"/>
      <c r="F1" s="11"/>
      <c r="G1" s="11"/>
      <c r="H1" s="11"/>
      <c r="I1" s="11"/>
      <c r="J1" s="11"/>
      <c r="K1" s="11"/>
      <c r="L1" s="3"/>
      <c r="M1" s="3"/>
    </row>
    <row r="2" spans="1:13" ht="16.5" thickBot="1">
      <c r="A2" s="46"/>
      <c r="B2" s="517" t="str">
        <f>Crops!B9</f>
        <v>Crop#1</v>
      </c>
      <c r="C2" s="47" t="str">
        <f>Crops!C9</f>
        <v>Crop#2</v>
      </c>
      <c r="D2" s="47" t="str">
        <f>Crops!D9</f>
        <v>Crop#3</v>
      </c>
      <c r="E2" s="47" t="str">
        <f>Crops!E9</f>
        <v>Crop#4</v>
      </c>
      <c r="F2" s="47" t="str">
        <f>Crops!F9</f>
        <v>Crop#5</v>
      </c>
      <c r="G2" s="47" t="str">
        <f>Crops!G9</f>
        <v>Crop#6</v>
      </c>
      <c r="H2" s="3"/>
      <c r="I2" s="3"/>
      <c r="J2" s="3"/>
      <c r="K2" s="3"/>
      <c r="L2" s="3"/>
      <c r="M2" s="3"/>
    </row>
    <row r="3" spans="1:13" ht="15">
      <c r="A3" s="46"/>
      <c r="B3" s="714" t="str">
        <f>Crops!B10</f>
        <v>Potatoes: No-Storage</v>
      </c>
      <c r="C3" s="707" t="str">
        <f>Crops!C10</f>
        <v>Hard Red Spring Wheat</v>
      </c>
      <c r="D3" s="707" t="str">
        <f>Crops!D10</f>
        <v>Soft White Winter Wheat</v>
      </c>
      <c r="E3" s="707" t="str">
        <f>Crops!E10</f>
        <v>Malting Barley</v>
      </c>
      <c r="F3" s="705" t="str">
        <f>Crops!F10</f>
        <v>Field Corn </v>
      </c>
      <c r="G3" s="705" t="str">
        <f>Crops!G10</f>
        <v>Sugarbeets</v>
      </c>
      <c r="H3" s="3"/>
      <c r="I3" s="3"/>
      <c r="J3" s="3"/>
      <c r="K3" s="3"/>
      <c r="L3" s="3"/>
      <c r="M3" s="3"/>
    </row>
    <row r="4" spans="1:13" ht="15">
      <c r="A4" s="46"/>
      <c r="B4" s="713"/>
      <c r="C4" s="713"/>
      <c r="D4" s="713"/>
      <c r="E4" s="706"/>
      <c r="F4" s="706"/>
      <c r="G4" s="706"/>
      <c r="H4" s="3"/>
      <c r="I4" s="3"/>
      <c r="J4" s="3"/>
      <c r="K4" s="3"/>
      <c r="L4" s="3"/>
      <c r="M4" s="3"/>
    </row>
    <row r="5" spans="1:13" ht="15.75">
      <c r="A5" s="48" t="s">
        <v>27</v>
      </c>
      <c r="B5" s="49">
        <f>Crops!B12</f>
        <v>100</v>
      </c>
      <c r="C5" s="129">
        <f>Crops!C12</f>
        <v>100</v>
      </c>
      <c r="D5" s="129">
        <f>Crops!D12</f>
        <v>100</v>
      </c>
      <c r="E5" s="129">
        <f>Crops!E12</f>
        <v>100</v>
      </c>
      <c r="F5" s="129">
        <f>Crops!F12</f>
        <v>100</v>
      </c>
      <c r="G5" s="129">
        <f>Crops!G12</f>
        <v>100</v>
      </c>
      <c r="H5" s="50"/>
      <c r="I5" s="3"/>
      <c r="J5" s="3"/>
      <c r="K5" s="3"/>
      <c r="L5" s="3"/>
      <c r="M5" s="3"/>
    </row>
    <row r="6" spans="1:13" ht="15.75">
      <c r="A6" s="51"/>
      <c r="B6" s="51"/>
      <c r="C6" s="51"/>
      <c r="D6" s="12"/>
      <c r="E6" s="3"/>
      <c r="F6" s="52"/>
      <c r="G6" s="52"/>
      <c r="H6" s="38"/>
      <c r="I6" s="12"/>
      <c r="J6" s="7"/>
      <c r="K6" s="11"/>
      <c r="L6" s="3"/>
      <c r="M6" s="3"/>
    </row>
    <row r="7" spans="1:13" ht="15.75">
      <c r="A7" s="708" t="s">
        <v>28</v>
      </c>
      <c r="B7" s="709"/>
      <c r="C7" s="709"/>
      <c r="D7" s="709"/>
      <c r="E7" s="709"/>
      <c r="F7" s="709"/>
      <c r="G7" s="709"/>
      <c r="H7" s="709"/>
      <c r="I7" s="54"/>
      <c r="J7" s="55"/>
      <c r="K7" s="11"/>
      <c r="L7" s="3"/>
      <c r="M7" s="3"/>
    </row>
    <row r="8" spans="1:13" ht="15.75">
      <c r="A8" s="51"/>
      <c r="B8" s="51"/>
      <c r="C8" s="56"/>
      <c r="D8" s="57"/>
      <c r="E8" s="57"/>
      <c r="F8" s="57"/>
      <c r="G8" s="57"/>
      <c r="H8" s="57"/>
      <c r="I8" s="57"/>
      <c r="J8" s="55"/>
      <c r="K8" s="11"/>
      <c r="L8" s="3"/>
      <c r="M8" s="3"/>
    </row>
    <row r="9" spans="1:13" ht="15.75">
      <c r="A9" s="58" t="str">
        <f>B2</f>
        <v>Crop#1</v>
      </c>
      <c r="B9" s="59" t="str">
        <f>B3</f>
        <v>Potatoes: No-Storage</v>
      </c>
      <c r="C9" s="59"/>
      <c r="D9" s="12"/>
      <c r="E9" s="38"/>
      <c r="F9" s="60"/>
      <c r="G9" s="38"/>
      <c r="H9" s="38"/>
      <c r="I9" s="60"/>
      <c r="J9" s="55"/>
      <c r="K9" s="11"/>
      <c r="L9" s="3"/>
      <c r="M9" s="3"/>
    </row>
    <row r="10" spans="1:13" ht="15.75">
      <c r="A10" s="61"/>
      <c r="B10" s="61"/>
      <c r="C10" s="61"/>
      <c r="D10" s="61"/>
      <c r="E10" s="62" t="s">
        <v>29</v>
      </c>
      <c r="F10" s="63" t="s">
        <v>30</v>
      </c>
      <c r="G10" s="64" t="s">
        <v>31</v>
      </c>
      <c r="H10" s="65" t="s">
        <v>32</v>
      </c>
      <c r="I10" s="66" t="s">
        <v>32</v>
      </c>
      <c r="J10" s="67"/>
      <c r="K10" s="11"/>
      <c r="L10" s="3"/>
      <c r="M10" s="3"/>
    </row>
    <row r="11" spans="1:13" ht="15.75">
      <c r="A11" s="12"/>
      <c r="B11" s="12"/>
      <c r="C11" s="12"/>
      <c r="D11" s="12"/>
      <c r="E11" s="68" t="s">
        <v>33</v>
      </c>
      <c r="F11" s="69" t="s">
        <v>13</v>
      </c>
      <c r="G11" s="70" t="s">
        <v>34</v>
      </c>
      <c r="H11" s="71" t="s">
        <v>34</v>
      </c>
      <c r="I11" s="66" t="s">
        <v>35</v>
      </c>
      <c r="J11" s="67"/>
      <c r="K11" s="11"/>
      <c r="L11" s="3"/>
      <c r="M11" s="3"/>
    </row>
    <row r="12" spans="1:13" ht="15.75">
      <c r="A12" s="72" t="s">
        <v>36</v>
      </c>
      <c r="B12" s="20"/>
      <c r="C12" s="20"/>
      <c r="D12" s="20"/>
      <c r="E12" s="73" t="s">
        <v>37</v>
      </c>
      <c r="F12" s="69" t="s">
        <v>29</v>
      </c>
      <c r="G12" s="70" t="s">
        <v>38</v>
      </c>
      <c r="H12" s="74" t="s">
        <v>38</v>
      </c>
      <c r="I12" s="75" t="s">
        <v>38</v>
      </c>
      <c r="J12" s="67"/>
      <c r="K12" s="11"/>
      <c r="L12" s="3"/>
      <c r="M12" s="3"/>
    </row>
    <row r="13" spans="1:13" ht="15.75">
      <c r="A13" s="40"/>
      <c r="B13" s="40"/>
      <c r="C13" s="40"/>
      <c r="D13" s="40"/>
      <c r="E13" s="76"/>
      <c r="F13" s="77"/>
      <c r="G13" s="76"/>
      <c r="H13" s="76"/>
      <c r="I13" s="76"/>
      <c r="J13" s="67"/>
      <c r="K13" s="11"/>
      <c r="L13" s="3"/>
      <c r="M13" s="3"/>
    </row>
    <row r="14" spans="1:13" ht="15.75">
      <c r="A14" s="712" t="s">
        <v>39</v>
      </c>
      <c r="B14" s="709"/>
      <c r="C14" s="709"/>
      <c r="D14" s="711"/>
      <c r="E14" s="623">
        <v>220</v>
      </c>
      <c r="F14" s="625">
        <f aca="true" t="shared" si="0" ref="F14:F24">E14*$B$5</f>
        <v>22000</v>
      </c>
      <c r="G14" s="79">
        <v>1</v>
      </c>
      <c r="H14" s="627">
        <f aca="true" t="shared" si="1" ref="H14:H24">F14*G14</f>
        <v>22000</v>
      </c>
      <c r="I14" s="627">
        <f aca="true" t="shared" si="2" ref="I14:I24">F14*(1-G14)</f>
        <v>0</v>
      </c>
      <c r="J14" s="67"/>
      <c r="K14" s="11"/>
      <c r="L14" s="3"/>
      <c r="M14" s="3"/>
    </row>
    <row r="15" spans="1:13" ht="15.75">
      <c r="A15" s="710" t="s">
        <v>40</v>
      </c>
      <c r="B15" s="709"/>
      <c r="C15" s="709"/>
      <c r="D15" s="711"/>
      <c r="E15" s="623">
        <v>245</v>
      </c>
      <c r="F15" s="625">
        <f t="shared" si="0"/>
        <v>24500</v>
      </c>
      <c r="G15" s="79">
        <v>1</v>
      </c>
      <c r="H15" s="627">
        <f t="shared" si="1"/>
        <v>24500</v>
      </c>
      <c r="I15" s="627">
        <f t="shared" si="2"/>
        <v>0</v>
      </c>
      <c r="J15" s="67"/>
      <c r="K15" s="11"/>
      <c r="L15" s="3"/>
      <c r="M15" s="3"/>
    </row>
    <row r="16" spans="1:13" ht="15.75">
      <c r="A16" s="710" t="s">
        <v>41</v>
      </c>
      <c r="B16" s="709"/>
      <c r="C16" s="709"/>
      <c r="D16" s="711"/>
      <c r="E16" s="623">
        <v>102</v>
      </c>
      <c r="F16" s="625">
        <f t="shared" si="0"/>
        <v>10200</v>
      </c>
      <c r="G16" s="79">
        <v>1</v>
      </c>
      <c r="H16" s="627">
        <f t="shared" si="1"/>
        <v>10200</v>
      </c>
      <c r="I16" s="627">
        <f t="shared" si="2"/>
        <v>0</v>
      </c>
      <c r="J16" s="67"/>
      <c r="K16" s="11"/>
      <c r="L16" s="3"/>
      <c r="M16" s="3"/>
    </row>
    <row r="17" spans="1:13" ht="15.75">
      <c r="A17" s="710" t="s">
        <v>42</v>
      </c>
      <c r="B17" s="709"/>
      <c r="C17" s="709"/>
      <c r="D17" s="711"/>
      <c r="E17" s="623">
        <v>122</v>
      </c>
      <c r="F17" s="625">
        <f t="shared" si="0"/>
        <v>12200</v>
      </c>
      <c r="G17" s="79">
        <v>1</v>
      </c>
      <c r="H17" s="627">
        <f t="shared" si="1"/>
        <v>12200</v>
      </c>
      <c r="I17" s="627">
        <f t="shared" si="2"/>
        <v>0</v>
      </c>
      <c r="J17" s="67"/>
      <c r="K17" s="11"/>
      <c r="L17" s="3"/>
      <c r="M17" s="3"/>
    </row>
    <row r="18" spans="1:13" ht="15.75">
      <c r="A18" s="710" t="s">
        <v>43</v>
      </c>
      <c r="B18" s="709"/>
      <c r="C18" s="709"/>
      <c r="D18" s="711"/>
      <c r="E18" s="623">
        <v>26</v>
      </c>
      <c r="F18" s="625">
        <f t="shared" si="0"/>
        <v>2600</v>
      </c>
      <c r="G18" s="79">
        <v>1</v>
      </c>
      <c r="H18" s="627">
        <f t="shared" si="1"/>
        <v>2600</v>
      </c>
      <c r="I18" s="627">
        <f t="shared" si="2"/>
        <v>0</v>
      </c>
      <c r="J18" s="67"/>
      <c r="K18" s="11"/>
      <c r="L18" s="3"/>
      <c r="M18" s="3"/>
    </row>
    <row r="19" spans="1:13" ht="15.75">
      <c r="A19" s="710" t="s">
        <v>44</v>
      </c>
      <c r="B19" s="709"/>
      <c r="C19" s="709"/>
      <c r="D19" s="711"/>
      <c r="E19" s="623">
        <v>12</v>
      </c>
      <c r="F19" s="625">
        <f t="shared" si="0"/>
        <v>1200</v>
      </c>
      <c r="G19" s="79">
        <v>1</v>
      </c>
      <c r="H19" s="627">
        <f t="shared" si="1"/>
        <v>1200</v>
      </c>
      <c r="I19" s="627">
        <f t="shared" si="2"/>
        <v>0</v>
      </c>
      <c r="J19" s="67"/>
      <c r="K19" s="11"/>
      <c r="L19" s="3"/>
      <c r="M19" s="3"/>
    </row>
    <row r="20" spans="1:13" ht="15.75">
      <c r="A20" s="710" t="s">
        <v>45</v>
      </c>
      <c r="B20" s="709"/>
      <c r="C20" s="709"/>
      <c r="D20" s="711"/>
      <c r="E20" s="623">
        <v>32</v>
      </c>
      <c r="F20" s="625">
        <f t="shared" si="0"/>
        <v>3200</v>
      </c>
      <c r="G20" s="79">
        <v>1</v>
      </c>
      <c r="H20" s="627">
        <f t="shared" si="1"/>
        <v>3200</v>
      </c>
      <c r="I20" s="627">
        <f t="shared" si="2"/>
        <v>0</v>
      </c>
      <c r="J20" s="67"/>
      <c r="K20" s="11"/>
      <c r="L20" s="3"/>
      <c r="M20" s="3"/>
    </row>
    <row r="21" spans="1:13" ht="15.75">
      <c r="A21" s="712" t="s">
        <v>46</v>
      </c>
      <c r="B21" s="709"/>
      <c r="C21" s="709"/>
      <c r="D21" s="711"/>
      <c r="E21" s="623">
        <v>49</v>
      </c>
      <c r="F21" s="625">
        <f t="shared" si="0"/>
        <v>4900</v>
      </c>
      <c r="G21" s="79">
        <v>1</v>
      </c>
      <c r="H21" s="627">
        <f t="shared" si="1"/>
        <v>4900</v>
      </c>
      <c r="I21" s="627">
        <f t="shared" si="2"/>
        <v>0</v>
      </c>
      <c r="J21" s="67"/>
      <c r="K21" s="11"/>
      <c r="L21" s="3"/>
      <c r="M21" s="3"/>
    </row>
    <row r="22" spans="1:13" ht="15.75">
      <c r="A22" s="710" t="s">
        <v>47</v>
      </c>
      <c r="B22" s="709"/>
      <c r="C22" s="709"/>
      <c r="D22" s="711"/>
      <c r="E22" s="623">
        <v>110</v>
      </c>
      <c r="F22" s="625">
        <f t="shared" si="0"/>
        <v>11000</v>
      </c>
      <c r="G22" s="79">
        <v>1</v>
      </c>
      <c r="H22" s="627">
        <f t="shared" si="1"/>
        <v>11000</v>
      </c>
      <c r="I22" s="627">
        <f t="shared" si="2"/>
        <v>0</v>
      </c>
      <c r="J22" s="67"/>
      <c r="K22" s="11"/>
      <c r="L22" s="3"/>
      <c r="M22" s="3"/>
    </row>
    <row r="23" spans="1:13" ht="15.75">
      <c r="A23" s="710" t="s">
        <v>48</v>
      </c>
      <c r="B23" s="709"/>
      <c r="C23" s="709"/>
      <c r="D23" s="711"/>
      <c r="E23" s="623">
        <v>41</v>
      </c>
      <c r="F23" s="625">
        <f t="shared" si="0"/>
        <v>4100</v>
      </c>
      <c r="G23" s="79">
        <v>1</v>
      </c>
      <c r="H23" s="627">
        <f t="shared" si="1"/>
        <v>4100</v>
      </c>
      <c r="I23" s="627">
        <f t="shared" si="2"/>
        <v>0</v>
      </c>
      <c r="J23" s="67"/>
      <c r="K23" s="11"/>
      <c r="L23" s="3"/>
      <c r="M23" s="3"/>
    </row>
    <row r="24" spans="1:13" ht="15.75">
      <c r="A24" s="716" t="s">
        <v>263</v>
      </c>
      <c r="B24" s="717"/>
      <c r="C24" s="717"/>
      <c r="D24" s="728"/>
      <c r="E24" s="624">
        <v>85</v>
      </c>
      <c r="F24" s="626">
        <f t="shared" si="0"/>
        <v>8500</v>
      </c>
      <c r="G24" s="82">
        <v>1</v>
      </c>
      <c r="H24" s="628">
        <f t="shared" si="1"/>
        <v>8500</v>
      </c>
      <c r="I24" s="628">
        <f t="shared" si="2"/>
        <v>0</v>
      </c>
      <c r="J24" s="67"/>
      <c r="K24" s="11"/>
      <c r="L24" s="3"/>
      <c r="M24" s="3"/>
    </row>
    <row r="25" spans="1:13" ht="15.75">
      <c r="A25" s="72"/>
      <c r="B25" s="20" t="s">
        <v>49</v>
      </c>
      <c r="C25" s="20"/>
      <c r="D25" s="20"/>
      <c r="E25" s="136">
        <f>SUM(E14:E24)</f>
        <v>1044</v>
      </c>
      <c r="F25" s="627">
        <f>SUM(F14:F24)</f>
        <v>104400</v>
      </c>
      <c r="G25" s="476"/>
      <c r="H25" s="627">
        <f>SUM(H14:H24)</f>
        <v>104400</v>
      </c>
      <c r="I25" s="627">
        <f>SUM(I14:I24)</f>
        <v>0</v>
      </c>
      <c r="J25" s="67"/>
      <c r="K25" s="11"/>
      <c r="L25" s="3"/>
      <c r="M25" s="3"/>
    </row>
    <row r="26" spans="1:13" ht="15.75">
      <c r="A26" s="72"/>
      <c r="B26" s="20"/>
      <c r="C26" s="20"/>
      <c r="D26" s="20"/>
      <c r="E26" s="84"/>
      <c r="F26" s="85"/>
      <c r="G26" s="477"/>
      <c r="H26" s="85"/>
      <c r="I26" s="629"/>
      <c r="J26" s="67"/>
      <c r="K26" s="11"/>
      <c r="L26" s="3"/>
      <c r="M26" s="3"/>
    </row>
    <row r="27" spans="1:13" ht="15.75">
      <c r="A27" s="710" t="s">
        <v>50</v>
      </c>
      <c r="B27" s="726"/>
      <c r="C27" s="726"/>
      <c r="D27" s="727"/>
      <c r="E27" s="136">
        <f>E29*(E28/12)*E25</f>
        <v>41.325</v>
      </c>
      <c r="F27" s="625">
        <f>E27*$B$5</f>
        <v>4132.5</v>
      </c>
      <c r="G27" s="87">
        <v>1</v>
      </c>
      <c r="H27" s="627">
        <f>F27*G27</f>
        <v>4132.5</v>
      </c>
      <c r="I27" s="627">
        <f>F27*(1-G27)</f>
        <v>0</v>
      </c>
      <c r="J27" s="88"/>
      <c r="K27" s="11"/>
      <c r="L27" s="3"/>
      <c r="M27" s="3"/>
    </row>
    <row r="28" spans="1:13" ht="15.75">
      <c r="A28" s="722" t="s">
        <v>51</v>
      </c>
      <c r="B28" s="709"/>
      <c r="C28" s="709"/>
      <c r="D28" s="711"/>
      <c r="E28" s="89">
        <v>5</v>
      </c>
      <c r="F28" s="90"/>
      <c r="G28" s="91"/>
      <c r="H28" s="91"/>
      <c r="I28" s="91"/>
      <c r="J28" s="67"/>
      <c r="K28" s="11"/>
      <c r="L28" s="3"/>
      <c r="M28" s="3"/>
    </row>
    <row r="29" spans="1:13" ht="15.75">
      <c r="A29" s="723" t="s">
        <v>52</v>
      </c>
      <c r="B29" s="724"/>
      <c r="C29" s="724"/>
      <c r="D29" s="725"/>
      <c r="E29" s="92">
        <v>0.095</v>
      </c>
      <c r="F29" s="93"/>
      <c r="G29" s="94"/>
      <c r="H29" s="94"/>
      <c r="I29" s="95"/>
      <c r="J29" s="67"/>
      <c r="K29" s="11"/>
      <c r="L29" s="3"/>
      <c r="M29" s="3"/>
    </row>
    <row r="30" spans="1:13" ht="15.75">
      <c r="A30" s="96"/>
      <c r="B30" s="97"/>
      <c r="C30" s="97"/>
      <c r="D30" s="97"/>
      <c r="E30" s="83"/>
      <c r="F30" s="90"/>
      <c r="G30" s="91"/>
      <c r="H30" s="91"/>
      <c r="I30" s="91"/>
      <c r="J30" s="67"/>
      <c r="K30" s="11"/>
      <c r="L30" s="3"/>
      <c r="M30" s="3"/>
    </row>
    <row r="31" spans="1:13" ht="15.75">
      <c r="A31" s="98" t="s">
        <v>53</v>
      </c>
      <c r="B31" s="40"/>
      <c r="C31" s="40"/>
      <c r="D31" s="40"/>
      <c r="E31" s="76"/>
      <c r="F31" s="76"/>
      <c r="G31" s="99"/>
      <c r="H31" s="99"/>
      <c r="I31" s="100"/>
      <c r="J31" s="67"/>
      <c r="K31" s="11"/>
      <c r="L31" s="3"/>
      <c r="M31" s="3"/>
    </row>
    <row r="32" spans="1:13" ht="15.75">
      <c r="A32" s="72" t="s">
        <v>54</v>
      </c>
      <c r="B32" s="20"/>
      <c r="C32" s="20"/>
      <c r="D32" s="20"/>
      <c r="E32" s="623">
        <v>0</v>
      </c>
      <c r="F32" s="625">
        <f>E32*$B$5</f>
        <v>0</v>
      </c>
      <c r="G32" s="102">
        <v>1</v>
      </c>
      <c r="H32" s="627">
        <f>F32*G32</f>
        <v>0</v>
      </c>
      <c r="I32" s="627">
        <f>F32*(1-G32)</f>
        <v>0</v>
      </c>
      <c r="J32" s="67"/>
      <c r="K32" s="11"/>
      <c r="L32" s="3"/>
      <c r="M32" s="3"/>
    </row>
    <row r="33" spans="1:13" ht="15.75">
      <c r="A33" s="72"/>
      <c r="B33" s="20" t="s">
        <v>55</v>
      </c>
      <c r="C33" s="20"/>
      <c r="D33" s="20"/>
      <c r="E33" s="630"/>
      <c r="F33" s="625"/>
      <c r="G33" s="102"/>
      <c r="H33" s="627"/>
      <c r="I33" s="627"/>
      <c r="J33" s="67"/>
      <c r="K33" s="11"/>
      <c r="L33" s="3"/>
      <c r="M33" s="3"/>
    </row>
    <row r="34" spans="1:13" ht="15.75">
      <c r="A34" s="716" t="s">
        <v>56</v>
      </c>
      <c r="B34" s="717"/>
      <c r="C34" s="717"/>
      <c r="D34" s="103"/>
      <c r="E34" s="631"/>
      <c r="F34" s="626">
        <f>E34*$B$5</f>
        <v>0</v>
      </c>
      <c r="G34" s="104">
        <v>1</v>
      </c>
      <c r="H34" s="632">
        <f>F34*G34</f>
        <v>0</v>
      </c>
      <c r="I34" s="628">
        <f>F34*(1-G34)</f>
        <v>0</v>
      </c>
      <c r="J34" s="67"/>
      <c r="K34" s="11"/>
      <c r="L34" s="3"/>
      <c r="M34" s="3"/>
    </row>
    <row r="35" spans="1:13" ht="15.75">
      <c r="A35" s="72"/>
      <c r="B35" s="53"/>
      <c r="C35" s="53"/>
      <c r="D35" s="20"/>
      <c r="E35" s="101"/>
      <c r="F35" s="78"/>
      <c r="G35" s="102"/>
      <c r="H35" s="80"/>
      <c r="I35" s="80"/>
      <c r="J35" s="67"/>
      <c r="K35" s="11"/>
      <c r="L35" s="3"/>
      <c r="M35" s="3"/>
    </row>
    <row r="36" spans="1:13" ht="15.75">
      <c r="A36" s="710" t="s">
        <v>57</v>
      </c>
      <c r="B36" s="709"/>
      <c r="C36" s="709"/>
      <c r="D36" s="20"/>
      <c r="E36" s="479">
        <f>E37*E29*(E38/12)</f>
        <v>0</v>
      </c>
      <c r="F36" s="625">
        <f>E36*$B$5</f>
        <v>0</v>
      </c>
      <c r="G36" s="102">
        <v>1</v>
      </c>
      <c r="H36" s="627">
        <f>F36*G36</f>
        <v>0</v>
      </c>
      <c r="I36" s="627">
        <f>F36*(1-G36)</f>
        <v>0</v>
      </c>
      <c r="J36" s="67"/>
      <c r="K36" s="11"/>
      <c r="L36" s="3"/>
      <c r="M36" s="3"/>
    </row>
    <row r="37" spans="1:13" ht="15.75">
      <c r="A37" s="712" t="s">
        <v>58</v>
      </c>
      <c r="B37" s="709"/>
      <c r="C37" s="709"/>
      <c r="D37" s="20"/>
      <c r="E37" s="633"/>
      <c r="F37" s="634"/>
      <c r="G37" s="91"/>
      <c r="H37" s="91"/>
      <c r="I37" s="91"/>
      <c r="J37" s="67"/>
      <c r="K37" s="11"/>
      <c r="L37" s="3"/>
      <c r="M37" s="3"/>
    </row>
    <row r="38" spans="1:13" ht="15.75">
      <c r="A38" s="718" t="s">
        <v>59</v>
      </c>
      <c r="B38" s="717"/>
      <c r="C38" s="717"/>
      <c r="D38" s="103"/>
      <c r="E38" s="105"/>
      <c r="F38" s="106"/>
      <c r="G38" s="107"/>
      <c r="H38" s="60"/>
      <c r="I38" s="108"/>
      <c r="J38" s="67"/>
      <c r="K38" s="11"/>
      <c r="L38" s="3"/>
      <c r="M38" s="3"/>
    </row>
    <row r="39" spans="1:13" ht="15.75">
      <c r="A39" s="96"/>
      <c r="B39" s="97"/>
      <c r="C39" s="97"/>
      <c r="D39" s="97"/>
      <c r="E39" s="109"/>
      <c r="F39" s="110"/>
      <c r="G39" s="91"/>
      <c r="H39" s="111"/>
      <c r="I39" s="111"/>
      <c r="J39" s="67"/>
      <c r="K39" s="11"/>
      <c r="L39" s="3"/>
      <c r="M39" s="3"/>
    </row>
    <row r="40" spans="1:13" ht="15.75">
      <c r="A40" s="96"/>
      <c r="B40" s="721" t="s">
        <v>60</v>
      </c>
      <c r="C40" s="721"/>
      <c r="D40" s="711"/>
      <c r="E40" s="479">
        <f>E25+E27+E32+E34+E36</f>
        <v>1085.325</v>
      </c>
      <c r="F40" s="113">
        <f>F25+F27+F32+F34+F36</f>
        <v>108532.5</v>
      </c>
      <c r="G40" s="91"/>
      <c r="H40" s="113">
        <f>H25+H27+H32+H34+H36</f>
        <v>108532.5</v>
      </c>
      <c r="I40" s="113">
        <f>I25+I27+I32+I34+I36</f>
        <v>0</v>
      </c>
      <c r="J40" s="67"/>
      <c r="K40" s="11"/>
      <c r="L40" s="3"/>
      <c r="M40" s="3"/>
    </row>
    <row r="41" spans="1:13" ht="15.75">
      <c r="A41" s="114"/>
      <c r="B41" s="81"/>
      <c r="C41" s="81"/>
      <c r="D41" s="81"/>
      <c r="E41" s="115"/>
      <c r="F41" s="116"/>
      <c r="G41" s="117"/>
      <c r="H41" s="117"/>
      <c r="I41" s="118"/>
      <c r="J41" s="67"/>
      <c r="K41" s="11"/>
      <c r="L41" s="3"/>
      <c r="M41" s="3"/>
    </row>
    <row r="42" spans="1:13" ht="15.75">
      <c r="A42" s="96"/>
      <c r="B42" s="97"/>
      <c r="C42" s="97"/>
      <c r="D42" s="97"/>
      <c r="E42" s="83"/>
      <c r="F42" s="119"/>
      <c r="G42" s="111"/>
      <c r="H42" s="111"/>
      <c r="I42" s="111"/>
      <c r="J42" s="67"/>
      <c r="K42" s="11"/>
      <c r="L42" s="3"/>
      <c r="M42" s="3"/>
    </row>
    <row r="43" spans="1:13" ht="15.75">
      <c r="A43" s="710" t="s">
        <v>280</v>
      </c>
      <c r="B43" s="709"/>
      <c r="C43" s="709"/>
      <c r="D43" s="711"/>
      <c r="E43" s="623">
        <v>45</v>
      </c>
      <c r="F43" s="625">
        <f>E43*$B$5</f>
        <v>4500</v>
      </c>
      <c r="G43" s="79">
        <v>1</v>
      </c>
      <c r="H43" s="136">
        <f>F43*G43</f>
        <v>4500</v>
      </c>
      <c r="I43" s="136">
        <f>F43*(1-G43)</f>
        <v>0</v>
      </c>
      <c r="J43" s="67"/>
      <c r="K43" s="11"/>
      <c r="L43" s="3"/>
      <c r="M43" s="3"/>
    </row>
    <row r="44" spans="1:13" ht="15.75">
      <c r="A44" s="710" t="s">
        <v>281</v>
      </c>
      <c r="B44" s="709"/>
      <c r="C44" s="709"/>
      <c r="D44" s="711"/>
      <c r="E44" s="623">
        <v>84</v>
      </c>
      <c r="F44" s="625">
        <f>E44*B5</f>
        <v>8400</v>
      </c>
      <c r="G44" s="79">
        <v>1</v>
      </c>
      <c r="H44" s="136">
        <f>F44*G44</f>
        <v>8400</v>
      </c>
      <c r="I44" s="136">
        <f>F44*(1-G44)</f>
        <v>0</v>
      </c>
      <c r="J44" s="67"/>
      <c r="K44" s="11"/>
      <c r="L44" s="3"/>
      <c r="M44" s="3"/>
    </row>
    <row r="45" spans="1:13" ht="15.75">
      <c r="A45" s="72"/>
      <c r="B45" s="120"/>
      <c r="C45" s="120"/>
      <c r="D45" s="121"/>
      <c r="E45" s="480"/>
      <c r="F45" s="477"/>
      <c r="G45" s="122"/>
      <c r="H45" s="111"/>
      <c r="I45" s="111"/>
      <c r="J45" s="67"/>
      <c r="K45" s="11"/>
      <c r="L45" s="3"/>
      <c r="M45" s="3"/>
    </row>
    <row r="46" spans="1:13" ht="21.75" customHeight="1">
      <c r="A46" s="719" t="s">
        <v>61</v>
      </c>
      <c r="B46" s="720"/>
      <c r="C46" s="720"/>
      <c r="D46" s="720"/>
      <c r="E46" s="123">
        <f>E40+E43+E44</f>
        <v>1214.325</v>
      </c>
      <c r="F46" s="123">
        <f>F40+F43+F44</f>
        <v>121432.5</v>
      </c>
      <c r="G46" s="124"/>
      <c r="H46" s="125">
        <f>H40+H43+H44</f>
        <v>121432.5</v>
      </c>
      <c r="I46" s="125">
        <f>I40+I43+I44</f>
        <v>0</v>
      </c>
      <c r="J46" s="55"/>
      <c r="K46" s="11"/>
      <c r="L46" s="3"/>
      <c r="M46" s="3"/>
    </row>
    <row r="47" spans="1:13" ht="15.75">
      <c r="A47" s="126"/>
      <c r="B47" s="126"/>
      <c r="C47" s="126"/>
      <c r="D47" s="126"/>
      <c r="E47" s="126"/>
      <c r="F47" s="126"/>
      <c r="G47" s="127"/>
      <c r="H47" s="127"/>
      <c r="I47" s="127"/>
      <c r="J47" s="7"/>
      <c r="K47" s="11"/>
      <c r="L47" s="3"/>
      <c r="M47" s="3"/>
    </row>
    <row r="48" spans="1:13" ht="15.75">
      <c r="A48" s="715"/>
      <c r="B48" s="715"/>
      <c r="C48" s="715"/>
      <c r="D48" s="715"/>
      <c r="E48" s="12"/>
      <c r="F48" s="12"/>
      <c r="G48" s="12"/>
      <c r="H48" s="12"/>
      <c r="I48" s="12"/>
      <c r="J48" s="7"/>
      <c r="K48" s="11"/>
      <c r="L48" s="3"/>
      <c r="M48" s="3"/>
    </row>
    <row r="49" spans="1:13" ht="15">
      <c r="A49" s="3"/>
      <c r="B49" s="3"/>
      <c r="C49" s="3"/>
      <c r="D49" s="3"/>
      <c r="E49" s="3"/>
      <c r="F49" s="3"/>
      <c r="G49" s="3"/>
      <c r="H49" s="3"/>
      <c r="I49" s="3"/>
      <c r="J49" s="3"/>
      <c r="K49" s="3"/>
      <c r="L49" s="3"/>
      <c r="M49" s="3"/>
    </row>
    <row r="50" spans="1:13" ht="15">
      <c r="A50" s="3"/>
      <c r="B50" s="3"/>
      <c r="C50" s="3"/>
      <c r="D50" s="3"/>
      <c r="E50" s="3"/>
      <c r="F50" s="3"/>
      <c r="G50" s="3"/>
      <c r="H50" s="3"/>
      <c r="I50" s="3"/>
      <c r="J50" s="3"/>
      <c r="K50" s="3"/>
      <c r="L50" s="3"/>
      <c r="M50" s="3"/>
    </row>
    <row r="51" spans="1:13" ht="15">
      <c r="A51" s="3"/>
      <c r="B51" s="3"/>
      <c r="C51" s="3"/>
      <c r="D51" s="3"/>
      <c r="E51" s="3"/>
      <c r="F51" s="3"/>
      <c r="G51" s="3"/>
      <c r="H51" s="3"/>
      <c r="I51" s="3"/>
      <c r="J51" s="3"/>
      <c r="K51" s="3"/>
      <c r="L51" s="3"/>
      <c r="M51" s="3"/>
    </row>
    <row r="52" spans="1:13" ht="15">
      <c r="A52" s="3"/>
      <c r="B52" s="3"/>
      <c r="C52" s="3"/>
      <c r="D52" s="3"/>
      <c r="E52" s="3"/>
      <c r="F52" s="3"/>
      <c r="G52" s="3"/>
      <c r="H52" s="3"/>
      <c r="I52" s="3"/>
      <c r="J52" s="3"/>
      <c r="K52" s="3"/>
      <c r="L52" s="3"/>
      <c r="M52" s="3"/>
    </row>
  </sheetData>
  <sheetProtection sheet="1" objects="1" scenarios="1"/>
  <mergeCells count="30">
    <mergeCell ref="A28:D28"/>
    <mergeCell ref="A29:D29"/>
    <mergeCell ref="A27:D27"/>
    <mergeCell ref="A15:D15"/>
    <mergeCell ref="A16:D16"/>
    <mergeCell ref="A23:D23"/>
    <mergeCell ref="A24:D24"/>
    <mergeCell ref="A22:D22"/>
    <mergeCell ref="A21:D21"/>
    <mergeCell ref="A17:D17"/>
    <mergeCell ref="A18:D18"/>
    <mergeCell ref="A19:D19"/>
    <mergeCell ref="A20:D20"/>
    <mergeCell ref="A48:D48"/>
    <mergeCell ref="A36:C36"/>
    <mergeCell ref="A34:C34"/>
    <mergeCell ref="A38:C38"/>
    <mergeCell ref="A46:D46"/>
    <mergeCell ref="B40:D40"/>
    <mergeCell ref="A44:D44"/>
    <mergeCell ref="F3:F4"/>
    <mergeCell ref="G3:G4"/>
    <mergeCell ref="E3:E4"/>
    <mergeCell ref="A7:H7"/>
    <mergeCell ref="A43:D43"/>
    <mergeCell ref="A37:C37"/>
    <mergeCell ref="A14:D14"/>
    <mergeCell ref="C3:C4"/>
    <mergeCell ref="B3:B4"/>
    <mergeCell ref="D3:D4"/>
  </mergeCells>
  <printOptions/>
  <pageMargins left="0.75" right="0.75" top="1" bottom="1" header="0.5" footer="0.5"/>
  <pageSetup fitToHeight="1" fitToWidth="1" horizontalDpi="600" verticalDpi="600" orientation="portrait" scale="55" r:id="rId3"/>
  <headerFooter alignWithMargins="0">
    <oddFooter>&amp;L&amp;F&amp;CUniversity of Idaho&amp;R&amp;A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52"/>
  <sheetViews>
    <sheetView showGridLines="0" zoomScale="85" zoomScaleNormal="85" zoomScalePageLayoutView="0" workbookViewId="0" topLeftCell="A1">
      <pane ySplit="12" topLeftCell="A13" activePane="bottomLeft" state="frozen"/>
      <selection pane="topLeft" activeCell="A1" sqref="A1"/>
      <selection pane="bottomLeft" activeCell="A1" sqref="A1"/>
    </sheetView>
  </sheetViews>
  <sheetFormatPr defaultColWidth="9.00390625" defaultRowHeight="14.25"/>
  <cols>
    <col min="1" max="1" width="8.875" style="1" customWidth="1"/>
    <col min="2" max="2" width="12.625" style="1" customWidth="1"/>
    <col min="3" max="3" width="12.75390625" style="1" customWidth="1"/>
    <col min="4" max="4" width="11.875" style="1" customWidth="1"/>
    <col min="5" max="5" width="12.125" style="1" customWidth="1"/>
    <col min="6" max="6" width="12.25390625" style="1" customWidth="1"/>
    <col min="7" max="9" width="12.75390625" style="1" customWidth="1"/>
    <col min="10" max="10" width="12.625" style="1" customWidth="1"/>
    <col min="11" max="16384" width="9.00390625" style="1" customWidth="1"/>
  </cols>
  <sheetData>
    <row r="1" spans="1:13" ht="15">
      <c r="A1" s="11"/>
      <c r="B1" s="11"/>
      <c r="C1" s="11"/>
      <c r="D1" s="11"/>
      <c r="E1" s="11"/>
      <c r="F1" s="11"/>
      <c r="G1" s="11"/>
      <c r="H1" s="11"/>
      <c r="I1" s="11"/>
      <c r="J1" s="11"/>
      <c r="K1" s="11"/>
      <c r="L1" s="3"/>
      <c r="M1" s="3"/>
    </row>
    <row r="2" spans="1:13" ht="16.5" thickBot="1">
      <c r="A2" s="128"/>
      <c r="B2" s="47" t="str">
        <f>Crops!B9</f>
        <v>Crop#1</v>
      </c>
      <c r="C2" s="517" t="str">
        <f>Crops!C9</f>
        <v>Crop#2</v>
      </c>
      <c r="D2" s="47" t="str">
        <f>Crops!D9</f>
        <v>Crop#3</v>
      </c>
      <c r="E2" s="47" t="str">
        <f>Crops!E9</f>
        <v>Crop#4</v>
      </c>
      <c r="F2" s="47" t="str">
        <f>Crops!F9</f>
        <v>Crop#5</v>
      </c>
      <c r="G2" s="47" t="str">
        <f>Crops!G9</f>
        <v>Crop#6</v>
      </c>
      <c r="H2" s="3"/>
      <c r="I2" s="3"/>
      <c r="J2" s="3"/>
      <c r="K2" s="3"/>
      <c r="L2" s="3"/>
      <c r="M2" s="3"/>
    </row>
    <row r="3" spans="1:13" ht="15.75" customHeight="1">
      <c r="A3" s="128"/>
      <c r="B3" s="731" t="str">
        <f>Crops!B10</f>
        <v>Potatoes: No-Storage</v>
      </c>
      <c r="C3" s="714" t="str">
        <f>Crops!C10</f>
        <v>Hard Red Spring Wheat</v>
      </c>
      <c r="D3" s="731" t="str">
        <f>Crops!D10</f>
        <v>Soft White Winter Wheat</v>
      </c>
      <c r="E3" s="731" t="str">
        <f>Crops!E10</f>
        <v>Malting Barley</v>
      </c>
      <c r="F3" s="731" t="str">
        <f>Crops!F10</f>
        <v>Field Corn </v>
      </c>
      <c r="G3" s="731" t="str">
        <f>Crops!G10</f>
        <v>Sugarbeets</v>
      </c>
      <c r="H3" s="3"/>
      <c r="I3" s="3"/>
      <c r="J3" s="3"/>
      <c r="K3" s="3"/>
      <c r="L3" s="3"/>
      <c r="M3" s="3"/>
    </row>
    <row r="4" spans="1:13" ht="15">
      <c r="A4" s="128"/>
      <c r="B4" s="732"/>
      <c r="C4" s="733"/>
      <c r="D4" s="732"/>
      <c r="E4" s="732"/>
      <c r="F4" s="732"/>
      <c r="G4" s="732"/>
      <c r="H4" s="3"/>
      <c r="I4" s="3"/>
      <c r="J4" s="3"/>
      <c r="K4" s="3"/>
      <c r="L4" s="3"/>
      <c r="M4" s="3"/>
    </row>
    <row r="5" spans="1:13" ht="15.75">
      <c r="A5" s="48" t="s">
        <v>27</v>
      </c>
      <c r="B5" s="129">
        <f>Crops!B12</f>
        <v>100</v>
      </c>
      <c r="C5" s="49">
        <f>Crops!C12</f>
        <v>100</v>
      </c>
      <c r="D5" s="129">
        <f>Crops!D12</f>
        <v>100</v>
      </c>
      <c r="E5" s="129">
        <f>Crops!E12</f>
        <v>100</v>
      </c>
      <c r="F5" s="129">
        <f>Crops!F12</f>
        <v>100</v>
      </c>
      <c r="G5" s="129">
        <f>Crops!G12</f>
        <v>100</v>
      </c>
      <c r="H5" s="50"/>
      <c r="I5" s="3"/>
      <c r="J5" s="3"/>
      <c r="K5" s="3"/>
      <c r="L5" s="3"/>
      <c r="M5" s="3"/>
    </row>
    <row r="6" spans="1:13" ht="15.75">
      <c r="A6" s="51"/>
      <c r="B6" s="51"/>
      <c r="C6" s="51"/>
      <c r="D6" s="12"/>
      <c r="E6" s="3"/>
      <c r="F6" s="52"/>
      <c r="G6" s="52"/>
      <c r="H6" s="38"/>
      <c r="I6" s="12"/>
      <c r="J6" s="7"/>
      <c r="K6" s="11"/>
      <c r="L6" s="3"/>
      <c r="M6" s="3"/>
    </row>
    <row r="7" spans="1:13" ht="15.75">
      <c r="A7" s="708" t="s">
        <v>62</v>
      </c>
      <c r="B7" s="709"/>
      <c r="C7" s="709"/>
      <c r="D7" s="709"/>
      <c r="E7" s="709"/>
      <c r="F7" s="709"/>
      <c r="G7" s="709"/>
      <c r="H7" s="709"/>
      <c r="I7" s="54"/>
      <c r="J7" s="55"/>
      <c r="K7" s="11"/>
      <c r="L7" s="3"/>
      <c r="M7" s="3"/>
    </row>
    <row r="8" spans="1:13" ht="15.75">
      <c r="A8" s="51"/>
      <c r="B8" s="51"/>
      <c r="C8" s="56"/>
      <c r="D8" s="57"/>
      <c r="E8" s="57"/>
      <c r="F8" s="57"/>
      <c r="G8" s="57"/>
      <c r="H8" s="57"/>
      <c r="I8" s="57"/>
      <c r="J8" s="55"/>
      <c r="K8" s="11"/>
      <c r="L8" s="3"/>
      <c r="M8" s="3"/>
    </row>
    <row r="9" spans="1:13" ht="15.75">
      <c r="A9" s="58" t="str">
        <f>C2</f>
        <v>Crop#2</v>
      </c>
      <c r="B9" s="59" t="str">
        <f>C3</f>
        <v>Hard Red Spring Wheat</v>
      </c>
      <c r="C9" s="59"/>
      <c r="D9" s="12"/>
      <c r="E9" s="38"/>
      <c r="F9" s="60"/>
      <c r="G9" s="38"/>
      <c r="H9" s="38"/>
      <c r="I9" s="60"/>
      <c r="J9" s="55"/>
      <c r="K9" s="11"/>
      <c r="L9" s="3"/>
      <c r="M9" s="3"/>
    </row>
    <row r="10" spans="1:13" ht="15.75">
      <c r="A10" s="61"/>
      <c r="B10" s="61"/>
      <c r="C10" s="61"/>
      <c r="D10" s="61"/>
      <c r="E10" s="62" t="s">
        <v>29</v>
      </c>
      <c r="F10" s="63" t="s">
        <v>30</v>
      </c>
      <c r="G10" s="64" t="s">
        <v>31</v>
      </c>
      <c r="H10" s="65" t="s">
        <v>32</v>
      </c>
      <c r="I10" s="66" t="s">
        <v>32</v>
      </c>
      <c r="J10" s="67"/>
      <c r="K10" s="11"/>
      <c r="L10" s="3"/>
      <c r="M10" s="3"/>
    </row>
    <row r="11" spans="1:13" ht="15.75">
      <c r="A11" s="12"/>
      <c r="B11" s="12"/>
      <c r="C11" s="12"/>
      <c r="D11" s="12"/>
      <c r="E11" s="68" t="s">
        <v>33</v>
      </c>
      <c r="F11" s="69" t="s">
        <v>13</v>
      </c>
      <c r="G11" s="70" t="s">
        <v>34</v>
      </c>
      <c r="H11" s="71" t="s">
        <v>34</v>
      </c>
      <c r="I11" s="66" t="s">
        <v>35</v>
      </c>
      <c r="J11" s="67"/>
      <c r="K11" s="11"/>
      <c r="L11" s="3"/>
      <c r="M11" s="3"/>
    </row>
    <row r="12" spans="1:13" ht="15.75">
      <c r="A12" s="72" t="s">
        <v>36</v>
      </c>
      <c r="B12" s="20"/>
      <c r="C12" s="20"/>
      <c r="D12" s="20"/>
      <c r="E12" s="73" t="s">
        <v>37</v>
      </c>
      <c r="F12" s="69" t="s">
        <v>29</v>
      </c>
      <c r="G12" s="70" t="s">
        <v>38</v>
      </c>
      <c r="H12" s="74" t="s">
        <v>38</v>
      </c>
      <c r="I12" s="75" t="s">
        <v>38</v>
      </c>
      <c r="J12" s="67"/>
      <c r="K12" s="11"/>
      <c r="L12" s="3"/>
      <c r="M12" s="3"/>
    </row>
    <row r="13" spans="1:13" ht="15.75">
      <c r="A13" s="40"/>
      <c r="B13" s="40"/>
      <c r="C13" s="40"/>
      <c r="D13" s="40"/>
      <c r="E13" s="76"/>
      <c r="F13" s="77"/>
      <c r="G13" s="76"/>
      <c r="H13" s="76"/>
      <c r="I13" s="76"/>
      <c r="J13" s="67"/>
      <c r="K13" s="11"/>
      <c r="L13" s="3"/>
      <c r="M13" s="3"/>
    </row>
    <row r="14" spans="1:13" ht="15.75">
      <c r="A14" s="712" t="s">
        <v>39</v>
      </c>
      <c r="B14" s="729"/>
      <c r="C14" s="729"/>
      <c r="D14" s="730"/>
      <c r="E14" s="623">
        <v>20</v>
      </c>
      <c r="F14" s="625">
        <f aca="true" t="shared" si="0" ref="F14:F24">E14*$C$5</f>
        <v>2000</v>
      </c>
      <c r="G14" s="79">
        <v>1</v>
      </c>
      <c r="H14" s="627">
        <f aca="true" t="shared" si="1" ref="H14:H24">F14*G14</f>
        <v>2000</v>
      </c>
      <c r="I14" s="627">
        <f aca="true" t="shared" si="2" ref="I14:I24">F14*(1-G14)</f>
        <v>0</v>
      </c>
      <c r="J14" s="67"/>
      <c r="K14" s="11"/>
      <c r="L14" s="3"/>
      <c r="M14" s="3"/>
    </row>
    <row r="15" spans="1:13" ht="15.75">
      <c r="A15" s="710" t="s">
        <v>40</v>
      </c>
      <c r="B15" s="729"/>
      <c r="C15" s="729"/>
      <c r="D15" s="730"/>
      <c r="E15" s="623">
        <v>63</v>
      </c>
      <c r="F15" s="625">
        <f t="shared" si="0"/>
        <v>6300</v>
      </c>
      <c r="G15" s="79">
        <v>1</v>
      </c>
      <c r="H15" s="627">
        <f t="shared" si="1"/>
        <v>6300</v>
      </c>
      <c r="I15" s="627">
        <f t="shared" si="2"/>
        <v>0</v>
      </c>
      <c r="J15" s="67"/>
      <c r="K15" s="11"/>
      <c r="L15" s="3"/>
      <c r="M15" s="3"/>
    </row>
    <row r="16" spans="1:13" ht="15.75">
      <c r="A16" s="710" t="s">
        <v>41</v>
      </c>
      <c r="B16" s="729"/>
      <c r="C16" s="729"/>
      <c r="D16" s="730"/>
      <c r="E16" s="623">
        <v>27</v>
      </c>
      <c r="F16" s="625">
        <f t="shared" si="0"/>
        <v>2700</v>
      </c>
      <c r="G16" s="79">
        <v>1</v>
      </c>
      <c r="H16" s="627">
        <f t="shared" si="1"/>
        <v>2700</v>
      </c>
      <c r="I16" s="627">
        <f t="shared" si="2"/>
        <v>0</v>
      </c>
      <c r="J16" s="67"/>
      <c r="K16" s="11"/>
      <c r="L16" s="3"/>
      <c r="M16" s="3"/>
    </row>
    <row r="17" spans="1:13" ht="15.75">
      <c r="A17" s="710" t="s">
        <v>42</v>
      </c>
      <c r="B17" s="729"/>
      <c r="C17" s="729"/>
      <c r="D17" s="730"/>
      <c r="E17" s="623">
        <v>52</v>
      </c>
      <c r="F17" s="625">
        <f t="shared" si="0"/>
        <v>5200</v>
      </c>
      <c r="G17" s="79">
        <v>1</v>
      </c>
      <c r="H17" s="627">
        <f t="shared" si="1"/>
        <v>5200</v>
      </c>
      <c r="I17" s="627">
        <f t="shared" si="2"/>
        <v>0</v>
      </c>
      <c r="J17" s="67"/>
      <c r="K17" s="11"/>
      <c r="L17" s="3"/>
      <c r="M17" s="3"/>
    </row>
    <row r="18" spans="1:13" ht="15.75">
      <c r="A18" s="710" t="s">
        <v>43</v>
      </c>
      <c r="B18" s="729"/>
      <c r="C18" s="729"/>
      <c r="D18" s="730"/>
      <c r="E18" s="623">
        <v>17</v>
      </c>
      <c r="F18" s="625">
        <f t="shared" si="0"/>
        <v>1700</v>
      </c>
      <c r="G18" s="79">
        <v>1</v>
      </c>
      <c r="H18" s="627">
        <f t="shared" si="1"/>
        <v>1700</v>
      </c>
      <c r="I18" s="627">
        <f t="shared" si="2"/>
        <v>0</v>
      </c>
      <c r="J18" s="67"/>
      <c r="K18" s="11"/>
      <c r="L18" s="3"/>
      <c r="M18" s="3"/>
    </row>
    <row r="19" spans="1:13" ht="15.75">
      <c r="A19" s="710" t="s">
        <v>44</v>
      </c>
      <c r="B19" s="729"/>
      <c r="C19" s="729"/>
      <c r="D19" s="730"/>
      <c r="E19" s="623">
        <v>8</v>
      </c>
      <c r="F19" s="625">
        <f t="shared" si="0"/>
        <v>800</v>
      </c>
      <c r="G19" s="79">
        <v>1</v>
      </c>
      <c r="H19" s="627">
        <f t="shared" si="1"/>
        <v>800</v>
      </c>
      <c r="I19" s="627">
        <f t="shared" si="2"/>
        <v>0</v>
      </c>
      <c r="J19" s="67"/>
      <c r="K19" s="11"/>
      <c r="L19" s="3"/>
      <c r="M19" s="3"/>
    </row>
    <row r="20" spans="1:13" ht="15.75">
      <c r="A20" s="710" t="s">
        <v>45</v>
      </c>
      <c r="B20" s="729"/>
      <c r="C20" s="729"/>
      <c r="D20" s="730"/>
      <c r="E20" s="623">
        <v>8</v>
      </c>
      <c r="F20" s="625">
        <f t="shared" si="0"/>
        <v>800</v>
      </c>
      <c r="G20" s="79">
        <v>1</v>
      </c>
      <c r="H20" s="627">
        <f t="shared" si="1"/>
        <v>800</v>
      </c>
      <c r="I20" s="627">
        <f t="shared" si="2"/>
        <v>0</v>
      </c>
      <c r="J20" s="67"/>
      <c r="K20" s="11"/>
      <c r="L20" s="3"/>
      <c r="M20" s="3"/>
    </row>
    <row r="21" spans="1:13" ht="15.75">
      <c r="A21" s="712" t="s">
        <v>46</v>
      </c>
      <c r="B21" s="729"/>
      <c r="C21" s="729"/>
      <c r="D21" s="730"/>
      <c r="E21" s="623">
        <v>0</v>
      </c>
      <c r="F21" s="625">
        <f t="shared" si="0"/>
        <v>0</v>
      </c>
      <c r="G21" s="79">
        <v>1</v>
      </c>
      <c r="H21" s="627">
        <f t="shared" si="1"/>
        <v>0</v>
      </c>
      <c r="I21" s="627">
        <f t="shared" si="2"/>
        <v>0</v>
      </c>
      <c r="J21" s="67"/>
      <c r="K21" s="11"/>
      <c r="L21" s="3"/>
      <c r="M21" s="3"/>
    </row>
    <row r="22" spans="1:13" ht="15.75">
      <c r="A22" s="710" t="s">
        <v>47</v>
      </c>
      <c r="B22" s="729"/>
      <c r="C22" s="729"/>
      <c r="D22" s="730"/>
      <c r="E22" s="623">
        <v>25</v>
      </c>
      <c r="F22" s="625">
        <f t="shared" si="0"/>
        <v>2500</v>
      </c>
      <c r="G22" s="79">
        <v>1</v>
      </c>
      <c r="H22" s="627">
        <f t="shared" si="1"/>
        <v>2500</v>
      </c>
      <c r="I22" s="627">
        <f t="shared" si="2"/>
        <v>0</v>
      </c>
      <c r="J22" s="67"/>
      <c r="K22" s="11"/>
      <c r="L22" s="3"/>
      <c r="M22" s="3"/>
    </row>
    <row r="23" spans="1:13" ht="15.75">
      <c r="A23" s="710" t="s">
        <v>48</v>
      </c>
      <c r="B23" s="729"/>
      <c r="C23" s="729"/>
      <c r="D23" s="730"/>
      <c r="E23" s="623">
        <v>5</v>
      </c>
      <c r="F23" s="625">
        <f t="shared" si="0"/>
        <v>500</v>
      </c>
      <c r="G23" s="79">
        <v>1</v>
      </c>
      <c r="H23" s="627">
        <f t="shared" si="1"/>
        <v>500</v>
      </c>
      <c r="I23" s="627">
        <f t="shared" si="2"/>
        <v>0</v>
      </c>
      <c r="J23" s="67"/>
      <c r="K23" s="11"/>
      <c r="L23" s="3"/>
      <c r="M23" s="3"/>
    </row>
    <row r="24" spans="1:13" ht="15.75">
      <c r="A24" s="716" t="s">
        <v>263</v>
      </c>
      <c r="B24" s="735"/>
      <c r="C24" s="735"/>
      <c r="D24" s="742"/>
      <c r="E24" s="624">
        <v>18</v>
      </c>
      <c r="F24" s="626">
        <f t="shared" si="0"/>
        <v>1800</v>
      </c>
      <c r="G24" s="82">
        <v>1</v>
      </c>
      <c r="H24" s="628">
        <f t="shared" si="1"/>
        <v>1800</v>
      </c>
      <c r="I24" s="628">
        <f t="shared" si="2"/>
        <v>0</v>
      </c>
      <c r="J24" s="67"/>
      <c r="K24" s="11"/>
      <c r="L24" s="3"/>
      <c r="M24" s="3"/>
    </row>
    <row r="25" spans="1:13" ht="15.75">
      <c r="A25" s="72"/>
      <c r="B25" s="20" t="s">
        <v>49</v>
      </c>
      <c r="C25" s="20"/>
      <c r="D25" s="20"/>
      <c r="E25" s="136">
        <f>SUM(E14:E24)</f>
        <v>243</v>
      </c>
      <c r="F25" s="136">
        <f>SUM(F14:F24)</f>
        <v>24300</v>
      </c>
      <c r="G25" s="83"/>
      <c r="H25" s="627">
        <f>SUM(H14:H24)</f>
        <v>24300</v>
      </c>
      <c r="I25" s="627">
        <f>SUM(I14:I24)</f>
        <v>0</v>
      </c>
      <c r="J25" s="67"/>
      <c r="K25" s="11"/>
      <c r="L25" s="3"/>
      <c r="M25" s="3"/>
    </row>
    <row r="26" spans="1:13" ht="15.75">
      <c r="A26" s="72"/>
      <c r="B26" s="20"/>
      <c r="C26" s="20"/>
      <c r="D26" s="20"/>
      <c r="E26" s="635"/>
      <c r="F26" s="113"/>
      <c r="G26" s="477"/>
      <c r="H26" s="629"/>
      <c r="I26" s="629"/>
      <c r="J26" s="67"/>
      <c r="K26" s="11"/>
      <c r="L26" s="3"/>
      <c r="M26" s="3"/>
    </row>
    <row r="27" spans="1:13" ht="15.75">
      <c r="A27" s="710" t="s">
        <v>50</v>
      </c>
      <c r="B27" s="740"/>
      <c r="C27" s="740"/>
      <c r="D27" s="741"/>
      <c r="E27" s="136">
        <f>E29*(E28/12)*E25</f>
        <v>7.694999999999999</v>
      </c>
      <c r="F27" s="625">
        <f>E27*$C$5</f>
        <v>769.4999999999999</v>
      </c>
      <c r="G27" s="87">
        <v>1</v>
      </c>
      <c r="H27" s="627">
        <f>F27*G27</f>
        <v>769.4999999999999</v>
      </c>
      <c r="I27" s="627">
        <f>F27*(1-G27)</f>
        <v>0</v>
      </c>
      <c r="J27" s="88"/>
      <c r="K27" s="11"/>
      <c r="L27" s="3"/>
      <c r="M27" s="3"/>
    </row>
    <row r="28" spans="1:13" ht="15.75">
      <c r="A28" s="722" t="s">
        <v>51</v>
      </c>
      <c r="B28" s="729"/>
      <c r="C28" s="729"/>
      <c r="D28" s="730"/>
      <c r="E28" s="89">
        <v>4</v>
      </c>
      <c r="F28" s="90"/>
      <c r="G28" s="91"/>
      <c r="H28" s="91"/>
      <c r="I28" s="91"/>
      <c r="J28" s="67"/>
      <c r="K28" s="11"/>
      <c r="L28" s="3"/>
      <c r="M28" s="3"/>
    </row>
    <row r="29" spans="1:13" ht="15.75">
      <c r="A29" s="737" t="s">
        <v>52</v>
      </c>
      <c r="B29" s="738"/>
      <c r="C29" s="738"/>
      <c r="D29" s="739"/>
      <c r="E29" s="92">
        <v>0.095</v>
      </c>
      <c r="F29" s="93"/>
      <c r="G29" s="94"/>
      <c r="H29" s="94"/>
      <c r="I29" s="95"/>
      <c r="J29" s="67"/>
      <c r="K29" s="11"/>
      <c r="L29" s="3"/>
      <c r="M29" s="3"/>
    </row>
    <row r="30" spans="1:13" ht="15.75">
      <c r="A30" s="491"/>
      <c r="B30" s="489"/>
      <c r="C30" s="489"/>
      <c r="D30" s="489"/>
      <c r="E30" s="476"/>
      <c r="F30" s="90"/>
      <c r="G30" s="91"/>
      <c r="H30" s="91"/>
      <c r="I30" s="91"/>
      <c r="J30" s="67"/>
      <c r="K30" s="11"/>
      <c r="L30" s="3"/>
      <c r="M30" s="3"/>
    </row>
    <row r="31" spans="1:13" ht="15.75">
      <c r="A31" s="98" t="s">
        <v>53</v>
      </c>
      <c r="B31" s="40"/>
      <c r="C31" s="40"/>
      <c r="D31" s="40"/>
      <c r="E31" s="76"/>
      <c r="F31" s="76"/>
      <c r="G31" s="99"/>
      <c r="H31" s="99"/>
      <c r="I31" s="100"/>
      <c r="J31" s="67"/>
      <c r="K31" s="11"/>
      <c r="L31" s="3"/>
      <c r="M31" s="3"/>
    </row>
    <row r="32" spans="1:13" ht="15.75">
      <c r="A32" s="72" t="s">
        <v>63</v>
      </c>
      <c r="B32" s="20"/>
      <c r="C32" s="20"/>
      <c r="D32" s="20"/>
      <c r="E32" s="636">
        <v>10</v>
      </c>
      <c r="F32" s="637">
        <f>E32*$C$5</f>
        <v>1000</v>
      </c>
      <c r="G32" s="102">
        <v>1</v>
      </c>
      <c r="H32" s="627">
        <f>F32*G32</f>
        <v>1000</v>
      </c>
      <c r="I32" s="627">
        <f>F32*(1-G32)</f>
        <v>0</v>
      </c>
      <c r="J32" s="67"/>
      <c r="K32" s="11"/>
      <c r="L32" s="3"/>
      <c r="M32" s="3"/>
    </row>
    <row r="33" spans="1:13" ht="15.75">
      <c r="A33" s="72"/>
      <c r="B33" s="20" t="s">
        <v>55</v>
      </c>
      <c r="C33" s="20"/>
      <c r="D33" s="20"/>
      <c r="E33" s="636"/>
      <c r="F33" s="637"/>
      <c r="G33" s="102"/>
      <c r="H33" s="627"/>
      <c r="I33" s="627"/>
      <c r="J33" s="67"/>
      <c r="K33" s="11"/>
      <c r="L33" s="3"/>
      <c r="M33" s="3"/>
    </row>
    <row r="34" spans="1:13" ht="15.75">
      <c r="A34" s="716" t="s">
        <v>56</v>
      </c>
      <c r="B34" s="735"/>
      <c r="C34" s="735"/>
      <c r="D34" s="103"/>
      <c r="E34" s="638">
        <v>0</v>
      </c>
      <c r="F34" s="639">
        <f>E34*$C$5</f>
        <v>0</v>
      </c>
      <c r="G34" s="104">
        <v>1</v>
      </c>
      <c r="H34" s="632">
        <f>F34*G34</f>
        <v>0</v>
      </c>
      <c r="I34" s="628">
        <f>F34*(1-G34)</f>
        <v>0</v>
      </c>
      <c r="J34" s="67"/>
      <c r="K34" s="11"/>
      <c r="L34" s="3"/>
      <c r="M34" s="3"/>
    </row>
    <row r="35" spans="1:13" ht="15.75">
      <c r="A35" s="72"/>
      <c r="B35" s="490"/>
      <c r="C35" s="490"/>
      <c r="D35" s="20"/>
      <c r="E35" s="101"/>
      <c r="F35" s="78"/>
      <c r="G35" s="102"/>
      <c r="H35" s="80"/>
      <c r="I35" s="80"/>
      <c r="J35" s="67"/>
      <c r="K35" s="11"/>
      <c r="L35" s="3"/>
      <c r="M35" s="3"/>
    </row>
    <row r="36" spans="1:13" ht="15.75">
      <c r="A36" s="710" t="s">
        <v>57</v>
      </c>
      <c r="B36" s="729"/>
      <c r="C36" s="729"/>
      <c r="D36" s="20"/>
      <c r="E36" s="479">
        <f>E37*E29*(E38/12)</f>
        <v>4.75</v>
      </c>
      <c r="F36" s="625">
        <f>E36*$C$5</f>
        <v>475</v>
      </c>
      <c r="G36" s="102">
        <v>1</v>
      </c>
      <c r="H36" s="627">
        <f>F36*G36</f>
        <v>475</v>
      </c>
      <c r="I36" s="627">
        <f>F36*(1-G36)</f>
        <v>0</v>
      </c>
      <c r="J36" s="67"/>
      <c r="K36" s="11"/>
      <c r="L36" s="3"/>
      <c r="M36" s="3"/>
    </row>
    <row r="37" spans="1:13" ht="15.75">
      <c r="A37" s="712" t="s">
        <v>58</v>
      </c>
      <c r="B37" s="729"/>
      <c r="C37" s="729"/>
      <c r="D37" s="20"/>
      <c r="E37" s="633">
        <v>300</v>
      </c>
      <c r="F37" s="634"/>
      <c r="G37" s="91"/>
      <c r="H37" s="91"/>
      <c r="I37" s="91"/>
      <c r="J37" s="67"/>
      <c r="K37" s="11"/>
      <c r="L37" s="3"/>
      <c r="M37" s="3"/>
    </row>
    <row r="38" spans="1:13" ht="15.75">
      <c r="A38" s="718" t="s">
        <v>59</v>
      </c>
      <c r="B38" s="735"/>
      <c r="C38" s="735"/>
      <c r="D38" s="103"/>
      <c r="E38" s="105">
        <v>2</v>
      </c>
      <c r="F38" s="106"/>
      <c r="G38" s="107"/>
      <c r="H38" s="60"/>
      <c r="I38" s="108"/>
      <c r="J38" s="67"/>
      <c r="K38" s="11"/>
      <c r="L38" s="3"/>
      <c r="M38" s="3"/>
    </row>
    <row r="39" spans="1:13" ht="15.75">
      <c r="A39" s="491"/>
      <c r="B39" s="489"/>
      <c r="C39" s="489"/>
      <c r="D39" s="489"/>
      <c r="E39" s="479"/>
      <c r="F39" s="119"/>
      <c r="G39" s="91"/>
      <c r="H39" s="111"/>
      <c r="I39" s="111"/>
      <c r="J39" s="67"/>
      <c r="K39" s="11"/>
      <c r="L39" s="3"/>
      <c r="M39" s="3"/>
    </row>
    <row r="40" spans="1:13" ht="15.75">
      <c r="A40" s="491"/>
      <c r="B40" s="734" t="s">
        <v>60</v>
      </c>
      <c r="C40" s="734"/>
      <c r="D40" s="730"/>
      <c r="E40" s="112">
        <f>E25+E27+E32+E34+E36</f>
        <v>265.445</v>
      </c>
      <c r="F40" s="112">
        <f>F25+F27+F32+F34+F36</f>
        <v>26544.5</v>
      </c>
      <c r="G40" s="91"/>
      <c r="H40" s="479">
        <f>H25+H27+H32+H34+H36</f>
        <v>26544.5</v>
      </c>
      <c r="I40" s="85">
        <f>I25+I27</f>
        <v>0</v>
      </c>
      <c r="J40" s="67"/>
      <c r="K40" s="11"/>
      <c r="L40" s="3"/>
      <c r="M40" s="3"/>
    </row>
    <row r="41" spans="1:13" ht="15.75">
      <c r="A41" s="492"/>
      <c r="B41" s="468"/>
      <c r="C41" s="468"/>
      <c r="D41" s="468"/>
      <c r="E41" s="498"/>
      <c r="F41" s="116"/>
      <c r="G41" s="117"/>
      <c r="H41" s="117"/>
      <c r="I41" s="118"/>
      <c r="J41" s="67"/>
      <c r="K41" s="11"/>
      <c r="L41" s="3"/>
      <c r="M41" s="3"/>
    </row>
    <row r="42" spans="1:13" ht="15.75">
      <c r="A42" s="491"/>
      <c r="B42" s="489"/>
      <c r="C42" s="489"/>
      <c r="D42" s="489"/>
      <c r="E42" s="476"/>
      <c r="F42" s="119"/>
      <c r="G42" s="111"/>
      <c r="H42" s="111"/>
      <c r="I42" s="111"/>
      <c r="J42" s="67"/>
      <c r="K42" s="11"/>
      <c r="L42" s="3"/>
      <c r="M42" s="3"/>
    </row>
    <row r="43" spans="1:13" ht="15.75">
      <c r="A43" s="710" t="s">
        <v>280</v>
      </c>
      <c r="B43" s="729"/>
      <c r="C43" s="729"/>
      <c r="D43" s="730"/>
      <c r="E43" s="623">
        <v>9</v>
      </c>
      <c r="F43" s="625">
        <f>E43*$C$5</f>
        <v>900</v>
      </c>
      <c r="G43" s="79">
        <v>1</v>
      </c>
      <c r="H43" s="136">
        <f>F43*G43</f>
        <v>900</v>
      </c>
      <c r="I43" s="136">
        <f>F43*(1-G43)</f>
        <v>0</v>
      </c>
      <c r="J43" s="67"/>
      <c r="K43" s="11"/>
      <c r="L43" s="3"/>
      <c r="M43" s="3"/>
    </row>
    <row r="44" spans="1:13" ht="15.75">
      <c r="A44" s="710" t="s">
        <v>281</v>
      </c>
      <c r="B44" s="729"/>
      <c r="C44" s="729"/>
      <c r="D44" s="730"/>
      <c r="E44" s="623">
        <v>20</v>
      </c>
      <c r="F44" s="625">
        <f>E44*C5</f>
        <v>2000</v>
      </c>
      <c r="G44" s="79">
        <v>1</v>
      </c>
      <c r="H44" s="136">
        <f>F44*G44</f>
        <v>2000</v>
      </c>
      <c r="I44" s="136">
        <f>F44*(1-G44)</f>
        <v>0</v>
      </c>
      <c r="J44" s="67"/>
      <c r="K44" s="11"/>
      <c r="L44" s="3"/>
      <c r="M44" s="3"/>
    </row>
    <row r="45" spans="1:13" ht="15.75">
      <c r="A45" s="72"/>
      <c r="B45" s="493"/>
      <c r="C45" s="493"/>
      <c r="D45" s="494"/>
      <c r="E45" s="495"/>
      <c r="F45" s="496"/>
      <c r="G45" s="497"/>
      <c r="H45" s="132"/>
      <c r="I45" s="133"/>
      <c r="J45" s="55"/>
      <c r="K45" s="11"/>
      <c r="L45" s="3"/>
      <c r="M45" s="3"/>
    </row>
    <row r="46" spans="1:13" ht="21.75" customHeight="1">
      <c r="A46" s="719" t="s">
        <v>61</v>
      </c>
      <c r="B46" s="736"/>
      <c r="C46" s="736"/>
      <c r="D46" s="736"/>
      <c r="E46" s="134">
        <f>E40+E43+E44</f>
        <v>294.445</v>
      </c>
      <c r="F46" s="134">
        <f>F40+F43+F44</f>
        <v>29444.5</v>
      </c>
      <c r="G46" s="135"/>
      <c r="H46" s="125">
        <f>H40+H43+H44</f>
        <v>29444.5</v>
      </c>
      <c r="I46" s="125">
        <f>I40+I43+I44</f>
        <v>0</v>
      </c>
      <c r="J46" s="55"/>
      <c r="K46" s="11"/>
      <c r="L46" s="3"/>
      <c r="M46" s="3"/>
    </row>
    <row r="47" spans="1:13" ht="15.75">
      <c r="A47" s="126"/>
      <c r="B47" s="126"/>
      <c r="C47" s="126"/>
      <c r="D47" s="126"/>
      <c r="E47" s="126"/>
      <c r="F47" s="126"/>
      <c r="G47" s="127"/>
      <c r="H47" s="127"/>
      <c r="I47" s="127"/>
      <c r="J47" s="7"/>
      <c r="K47" s="11"/>
      <c r="L47" s="3"/>
      <c r="M47" s="3"/>
    </row>
    <row r="48" spans="1:13" ht="15.75">
      <c r="A48" s="715"/>
      <c r="B48" s="715"/>
      <c r="C48" s="715"/>
      <c r="D48" s="715"/>
      <c r="E48" s="12"/>
      <c r="F48" s="12"/>
      <c r="G48" s="12"/>
      <c r="H48" s="12"/>
      <c r="I48" s="12"/>
      <c r="J48" s="7"/>
      <c r="K48" s="11"/>
      <c r="L48" s="3"/>
      <c r="M48" s="3"/>
    </row>
    <row r="49" spans="1:13" ht="15">
      <c r="A49" s="3"/>
      <c r="B49" s="3"/>
      <c r="C49" s="3"/>
      <c r="D49" s="3"/>
      <c r="E49" s="3"/>
      <c r="F49" s="3"/>
      <c r="G49" s="3"/>
      <c r="H49" s="3"/>
      <c r="I49" s="3"/>
      <c r="J49" s="3"/>
      <c r="K49" s="3"/>
      <c r="L49" s="3"/>
      <c r="M49" s="3"/>
    </row>
    <row r="50" spans="1:13" ht="15">
      <c r="A50" s="3"/>
      <c r="B50" s="3"/>
      <c r="C50" s="3"/>
      <c r="D50" s="3"/>
      <c r="E50" s="3"/>
      <c r="F50" s="3"/>
      <c r="G50" s="3"/>
      <c r="H50" s="3"/>
      <c r="I50" s="3"/>
      <c r="J50" s="3"/>
      <c r="K50" s="3"/>
      <c r="L50" s="3"/>
      <c r="M50" s="3"/>
    </row>
    <row r="51" spans="1:13" ht="15">
      <c r="A51" s="3"/>
      <c r="B51" s="3"/>
      <c r="C51" s="3"/>
      <c r="D51" s="3"/>
      <c r="E51" s="3"/>
      <c r="F51" s="3"/>
      <c r="G51" s="3"/>
      <c r="H51" s="3"/>
      <c r="I51" s="3"/>
      <c r="J51" s="3"/>
      <c r="K51" s="3"/>
      <c r="L51" s="3"/>
      <c r="M51" s="3"/>
    </row>
    <row r="52" spans="1:13" ht="15">
      <c r="A52" s="3"/>
      <c r="B52" s="3"/>
      <c r="C52" s="3"/>
      <c r="D52" s="3"/>
      <c r="E52" s="3"/>
      <c r="F52" s="3"/>
      <c r="G52" s="3"/>
      <c r="H52" s="3"/>
      <c r="I52" s="3"/>
      <c r="J52" s="3"/>
      <c r="K52" s="3"/>
      <c r="L52" s="3"/>
      <c r="M52" s="3"/>
    </row>
  </sheetData>
  <sheetProtection sheet="1" objects="1" scenarios="1"/>
  <mergeCells count="30">
    <mergeCell ref="A20:D20"/>
    <mergeCell ref="A21:D21"/>
    <mergeCell ref="A28:D28"/>
    <mergeCell ref="A7:H7"/>
    <mergeCell ref="A29:D29"/>
    <mergeCell ref="A27:D27"/>
    <mergeCell ref="A15:D15"/>
    <mergeCell ref="A16:D16"/>
    <mergeCell ref="A24:D24"/>
    <mergeCell ref="A23:D23"/>
    <mergeCell ref="A22:D22"/>
    <mergeCell ref="A17:D17"/>
    <mergeCell ref="A18:D18"/>
    <mergeCell ref="A19:D19"/>
    <mergeCell ref="B40:D40"/>
    <mergeCell ref="A48:D48"/>
    <mergeCell ref="A36:C36"/>
    <mergeCell ref="A34:C34"/>
    <mergeCell ref="A38:C38"/>
    <mergeCell ref="A46:D46"/>
    <mergeCell ref="A37:C37"/>
    <mergeCell ref="A43:D43"/>
    <mergeCell ref="A44:D44"/>
    <mergeCell ref="F3:F4"/>
    <mergeCell ref="G3:G4"/>
    <mergeCell ref="E3:E4"/>
    <mergeCell ref="A14:D14"/>
    <mergeCell ref="C3:C4"/>
    <mergeCell ref="B3:B4"/>
    <mergeCell ref="D3:D4"/>
  </mergeCells>
  <printOptions/>
  <pageMargins left="0.75" right="0.75" top="1" bottom="1" header="0.5" footer="0.5"/>
  <pageSetup fitToHeight="1" fitToWidth="1" horizontalDpi="600" verticalDpi="600" orientation="portrait" scale="55" r:id="rId3"/>
  <headerFooter alignWithMargins="0">
    <oddFooter>&amp;L&amp;F&amp;CUniversity of Idaho&amp;R&amp;A</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showGridLines="0" zoomScale="85" zoomScaleNormal="85" zoomScalePageLayoutView="0" workbookViewId="0" topLeftCell="A1">
      <pane ySplit="12" topLeftCell="A13" activePane="bottomLeft" state="frozen"/>
      <selection pane="topLeft" activeCell="A1" sqref="A1"/>
      <selection pane="bottomLeft" activeCell="A1" sqref="A1"/>
    </sheetView>
  </sheetViews>
  <sheetFormatPr defaultColWidth="9.00390625" defaultRowHeight="14.25"/>
  <cols>
    <col min="1" max="1" width="8.875" style="1" customWidth="1"/>
    <col min="2" max="2" width="12.625" style="1" customWidth="1"/>
    <col min="3" max="3" width="12.75390625" style="1" customWidth="1"/>
    <col min="4" max="4" width="12.625" style="1" customWidth="1"/>
    <col min="5" max="5" width="12.75390625" style="1" customWidth="1"/>
    <col min="6" max="6" width="12.50390625" style="1" customWidth="1"/>
    <col min="7" max="7" width="12.875" style="1" customWidth="1"/>
    <col min="8" max="9" width="12.75390625" style="1" customWidth="1"/>
    <col min="10" max="10" width="12.625" style="1" customWidth="1"/>
    <col min="11" max="16384" width="9.00390625" style="1" customWidth="1"/>
  </cols>
  <sheetData>
    <row r="1" spans="1:13" ht="15">
      <c r="A1" s="11"/>
      <c r="B1" s="11"/>
      <c r="C1" s="11"/>
      <c r="D1" s="11"/>
      <c r="E1" s="11"/>
      <c r="F1" s="11"/>
      <c r="G1" s="11"/>
      <c r="H1" s="11"/>
      <c r="I1" s="11"/>
      <c r="J1" s="11"/>
      <c r="K1" s="11"/>
      <c r="L1" s="3"/>
      <c r="M1" s="3"/>
    </row>
    <row r="2" spans="1:13" ht="16.5" thickBot="1">
      <c r="A2" s="128"/>
      <c r="B2" s="47" t="str">
        <f>Crops!B9</f>
        <v>Crop#1</v>
      </c>
      <c r="C2" s="47" t="str">
        <f>Crops!C9</f>
        <v>Crop#2</v>
      </c>
      <c r="D2" s="517" t="str">
        <f>Crops!D9</f>
        <v>Crop#3</v>
      </c>
      <c r="E2" s="47" t="str">
        <f>Crops!E9</f>
        <v>Crop#4</v>
      </c>
      <c r="F2" s="47" t="str">
        <f>Crops!F9</f>
        <v>Crop#5</v>
      </c>
      <c r="G2" s="47" t="str">
        <f>Crops!G9</f>
        <v>Crop#6</v>
      </c>
      <c r="H2" s="3"/>
      <c r="I2" s="3"/>
      <c r="J2" s="3"/>
      <c r="K2" s="3"/>
      <c r="L2" s="3"/>
      <c r="M2" s="3"/>
    </row>
    <row r="3" spans="1:13" ht="15.75" customHeight="1">
      <c r="A3" s="128"/>
      <c r="B3" s="731" t="str">
        <f>Crops!B10</f>
        <v>Potatoes: No-Storage</v>
      </c>
      <c r="C3" s="731" t="str">
        <f>Crops!C10</f>
        <v>Hard Red Spring Wheat</v>
      </c>
      <c r="D3" s="714" t="str">
        <f>Crops!D10</f>
        <v>Soft White Winter Wheat</v>
      </c>
      <c r="E3" s="731" t="str">
        <f>Crops!E10</f>
        <v>Malting Barley</v>
      </c>
      <c r="F3" s="731" t="str">
        <f>Crops!F10</f>
        <v>Field Corn </v>
      </c>
      <c r="G3" s="731" t="str">
        <f>Crops!G10</f>
        <v>Sugarbeets</v>
      </c>
      <c r="H3" s="3"/>
      <c r="I3" s="3"/>
      <c r="J3" s="3"/>
      <c r="K3" s="3"/>
      <c r="L3" s="3"/>
      <c r="M3" s="3"/>
    </row>
    <row r="4" spans="1:13" ht="15">
      <c r="A4" s="128"/>
      <c r="B4" s="732"/>
      <c r="C4" s="732"/>
      <c r="D4" s="733"/>
      <c r="E4" s="732"/>
      <c r="F4" s="732"/>
      <c r="G4" s="732"/>
      <c r="H4" s="3"/>
      <c r="I4" s="3"/>
      <c r="J4" s="3"/>
      <c r="K4" s="3"/>
      <c r="L4" s="3"/>
      <c r="M4" s="3"/>
    </row>
    <row r="5" spans="1:13" ht="15.75">
      <c r="A5" s="48" t="s">
        <v>27</v>
      </c>
      <c r="B5" s="129">
        <f>Crops!B12</f>
        <v>100</v>
      </c>
      <c r="C5" s="129">
        <f>Crops!C12</f>
        <v>100</v>
      </c>
      <c r="D5" s="49">
        <f>Crops!D12</f>
        <v>100</v>
      </c>
      <c r="E5" s="129">
        <f>Crops!E12</f>
        <v>100</v>
      </c>
      <c r="F5" s="129">
        <f>Crops!F12</f>
        <v>100</v>
      </c>
      <c r="G5" s="129">
        <f>Crops!G12</f>
        <v>100</v>
      </c>
      <c r="H5" s="50"/>
      <c r="I5" s="3"/>
      <c r="J5" s="3"/>
      <c r="K5" s="3"/>
      <c r="L5" s="3"/>
      <c r="M5" s="3"/>
    </row>
    <row r="6" spans="1:13" ht="15.75">
      <c r="A6" s="51"/>
      <c r="B6" s="51"/>
      <c r="C6" s="51"/>
      <c r="D6" s="12"/>
      <c r="E6" s="3"/>
      <c r="F6" s="52"/>
      <c r="G6" s="52"/>
      <c r="H6" s="38"/>
      <c r="I6" s="12"/>
      <c r="J6" s="7"/>
      <c r="K6" s="11"/>
      <c r="L6" s="3"/>
      <c r="M6" s="3"/>
    </row>
    <row r="7" spans="1:13" ht="15.75">
      <c r="A7" s="743" t="s">
        <v>64</v>
      </c>
      <c r="B7" s="709"/>
      <c r="C7" s="709"/>
      <c r="D7" s="709"/>
      <c r="E7" s="709"/>
      <c r="F7" s="709"/>
      <c r="G7" s="709"/>
      <c r="H7" s="709"/>
      <c r="I7" s="54"/>
      <c r="J7" s="55"/>
      <c r="K7" s="11"/>
      <c r="L7" s="3"/>
      <c r="M7" s="3"/>
    </row>
    <row r="8" spans="1:13" ht="15.75">
      <c r="A8" s="51"/>
      <c r="B8" s="51"/>
      <c r="C8" s="56"/>
      <c r="D8" s="57"/>
      <c r="E8" s="57"/>
      <c r="F8" s="57"/>
      <c r="G8" s="57"/>
      <c r="H8" s="57"/>
      <c r="I8" s="57"/>
      <c r="J8" s="55"/>
      <c r="K8" s="11"/>
      <c r="L8" s="3"/>
      <c r="M8" s="3"/>
    </row>
    <row r="9" spans="1:13" ht="15.75">
      <c r="A9" s="58" t="str">
        <f>D2</f>
        <v>Crop#3</v>
      </c>
      <c r="B9" s="59" t="str">
        <f>D3</f>
        <v>Soft White Winter Wheat</v>
      </c>
      <c r="C9" s="59"/>
      <c r="D9" s="12"/>
      <c r="E9" s="38"/>
      <c r="F9" s="60"/>
      <c r="G9" s="38"/>
      <c r="H9" s="38"/>
      <c r="I9" s="60"/>
      <c r="J9" s="55"/>
      <c r="K9" s="11"/>
      <c r="L9" s="3"/>
      <c r="M9" s="3"/>
    </row>
    <row r="10" spans="1:13" ht="15.75">
      <c r="A10" s="40"/>
      <c r="B10" s="40"/>
      <c r="C10" s="40"/>
      <c r="D10" s="40"/>
      <c r="E10" s="62" t="s">
        <v>29</v>
      </c>
      <c r="F10" s="63" t="s">
        <v>30</v>
      </c>
      <c r="G10" s="64" t="s">
        <v>31</v>
      </c>
      <c r="H10" s="65" t="s">
        <v>32</v>
      </c>
      <c r="I10" s="66" t="s">
        <v>32</v>
      </c>
      <c r="J10" s="67"/>
      <c r="K10" s="11"/>
      <c r="L10" s="11"/>
      <c r="M10" s="3"/>
    </row>
    <row r="11" spans="1:13" ht="15.75">
      <c r="A11" s="20"/>
      <c r="B11" s="20"/>
      <c r="C11" s="20"/>
      <c r="D11" s="20"/>
      <c r="E11" s="68" t="s">
        <v>33</v>
      </c>
      <c r="F11" s="69" t="s">
        <v>13</v>
      </c>
      <c r="G11" s="70" t="s">
        <v>34</v>
      </c>
      <c r="H11" s="71" t="s">
        <v>34</v>
      </c>
      <c r="I11" s="66" t="s">
        <v>35</v>
      </c>
      <c r="J11" s="67"/>
      <c r="K11" s="11"/>
      <c r="L11" s="11"/>
      <c r="M11" s="3"/>
    </row>
    <row r="12" spans="1:13" ht="15.75">
      <c r="A12" s="72" t="s">
        <v>36</v>
      </c>
      <c r="B12" s="20"/>
      <c r="C12" s="20"/>
      <c r="D12" s="20"/>
      <c r="E12" s="73" t="s">
        <v>37</v>
      </c>
      <c r="F12" s="69" t="s">
        <v>29</v>
      </c>
      <c r="G12" s="70" t="s">
        <v>38</v>
      </c>
      <c r="H12" s="74" t="s">
        <v>38</v>
      </c>
      <c r="I12" s="75" t="s">
        <v>38</v>
      </c>
      <c r="J12" s="67"/>
      <c r="K12" s="11"/>
      <c r="L12" s="11"/>
      <c r="M12" s="3"/>
    </row>
    <row r="13" spans="1:13" ht="15.75">
      <c r="A13" s="40"/>
      <c r="B13" s="40"/>
      <c r="C13" s="40"/>
      <c r="D13" s="40"/>
      <c r="E13" s="76"/>
      <c r="F13" s="77"/>
      <c r="G13" s="76"/>
      <c r="H13" s="76"/>
      <c r="I13" s="76"/>
      <c r="J13" s="67"/>
      <c r="K13" s="11"/>
      <c r="L13" s="11"/>
      <c r="M13" s="3"/>
    </row>
    <row r="14" spans="1:13" ht="15.75">
      <c r="A14" s="712" t="s">
        <v>39</v>
      </c>
      <c r="B14" s="729"/>
      <c r="C14" s="729"/>
      <c r="D14" s="730"/>
      <c r="E14" s="623">
        <v>14</v>
      </c>
      <c r="F14" s="625">
        <f aca="true" t="shared" si="0" ref="F14:F24">E14*$D$5</f>
        <v>1400</v>
      </c>
      <c r="G14" s="79">
        <v>1</v>
      </c>
      <c r="H14" s="136">
        <f aca="true" t="shared" si="1" ref="H14:H24">F14*G14</f>
        <v>1400</v>
      </c>
      <c r="I14" s="136">
        <f aca="true" t="shared" si="2" ref="I14:I24">F14*(1-G14)</f>
        <v>0</v>
      </c>
      <c r="J14" s="67"/>
      <c r="K14" s="11"/>
      <c r="L14" s="11"/>
      <c r="M14" s="3"/>
    </row>
    <row r="15" spans="1:13" ht="15.75">
      <c r="A15" s="710" t="s">
        <v>40</v>
      </c>
      <c r="B15" s="729"/>
      <c r="C15" s="729"/>
      <c r="D15" s="730"/>
      <c r="E15" s="623">
        <v>65</v>
      </c>
      <c r="F15" s="625">
        <f t="shared" si="0"/>
        <v>6500</v>
      </c>
      <c r="G15" s="79">
        <v>1</v>
      </c>
      <c r="H15" s="136">
        <f t="shared" si="1"/>
        <v>6500</v>
      </c>
      <c r="I15" s="136">
        <f t="shared" si="2"/>
        <v>0</v>
      </c>
      <c r="J15" s="67"/>
      <c r="K15" s="11"/>
      <c r="L15" s="11"/>
      <c r="M15" s="3"/>
    </row>
    <row r="16" spans="1:13" ht="15.75">
      <c r="A16" s="710" t="s">
        <v>41</v>
      </c>
      <c r="B16" s="729"/>
      <c r="C16" s="729"/>
      <c r="D16" s="730"/>
      <c r="E16" s="623">
        <v>14</v>
      </c>
      <c r="F16" s="625">
        <f t="shared" si="0"/>
        <v>1400</v>
      </c>
      <c r="G16" s="79">
        <v>1</v>
      </c>
      <c r="H16" s="136">
        <f t="shared" si="1"/>
        <v>1400</v>
      </c>
      <c r="I16" s="136">
        <f t="shared" si="2"/>
        <v>0</v>
      </c>
      <c r="J16" s="67"/>
      <c r="K16" s="11"/>
      <c r="L16" s="11"/>
      <c r="M16" s="3"/>
    </row>
    <row r="17" spans="1:13" ht="15.75">
      <c r="A17" s="710" t="s">
        <v>42</v>
      </c>
      <c r="B17" s="729"/>
      <c r="C17" s="729"/>
      <c r="D17" s="730"/>
      <c r="E17" s="623">
        <v>60</v>
      </c>
      <c r="F17" s="625">
        <f t="shared" si="0"/>
        <v>6000</v>
      </c>
      <c r="G17" s="79">
        <v>1</v>
      </c>
      <c r="H17" s="136">
        <f t="shared" si="1"/>
        <v>6000</v>
      </c>
      <c r="I17" s="136">
        <f t="shared" si="2"/>
        <v>0</v>
      </c>
      <c r="J17" s="67"/>
      <c r="K17" s="11"/>
      <c r="L17" s="11"/>
      <c r="M17" s="3"/>
    </row>
    <row r="18" spans="1:13" ht="15.75">
      <c r="A18" s="710" t="s">
        <v>43</v>
      </c>
      <c r="B18" s="729"/>
      <c r="C18" s="729"/>
      <c r="D18" s="730"/>
      <c r="E18" s="623">
        <v>18</v>
      </c>
      <c r="F18" s="625">
        <f t="shared" si="0"/>
        <v>1800</v>
      </c>
      <c r="G18" s="79">
        <v>1</v>
      </c>
      <c r="H18" s="136">
        <f t="shared" si="1"/>
        <v>1800</v>
      </c>
      <c r="I18" s="136">
        <f t="shared" si="2"/>
        <v>0</v>
      </c>
      <c r="J18" s="67"/>
      <c r="K18" s="11"/>
      <c r="L18" s="11"/>
      <c r="M18" s="3"/>
    </row>
    <row r="19" spans="1:13" ht="15.75">
      <c r="A19" s="710" t="s">
        <v>44</v>
      </c>
      <c r="B19" s="729"/>
      <c r="C19" s="729"/>
      <c r="D19" s="730"/>
      <c r="E19" s="623">
        <v>9</v>
      </c>
      <c r="F19" s="625">
        <f t="shared" si="0"/>
        <v>900</v>
      </c>
      <c r="G19" s="79">
        <v>1</v>
      </c>
      <c r="H19" s="136">
        <f t="shared" si="1"/>
        <v>900</v>
      </c>
      <c r="I19" s="136">
        <f t="shared" si="2"/>
        <v>0</v>
      </c>
      <c r="J19" s="67"/>
      <c r="K19" s="11"/>
      <c r="L19" s="11"/>
      <c r="M19" s="3"/>
    </row>
    <row r="20" spans="1:13" ht="15.75">
      <c r="A20" s="710" t="s">
        <v>45</v>
      </c>
      <c r="B20" s="729"/>
      <c r="C20" s="729"/>
      <c r="D20" s="730"/>
      <c r="E20" s="623">
        <v>8</v>
      </c>
      <c r="F20" s="625">
        <f t="shared" si="0"/>
        <v>800</v>
      </c>
      <c r="G20" s="79">
        <v>1</v>
      </c>
      <c r="H20" s="136">
        <f t="shared" si="1"/>
        <v>800</v>
      </c>
      <c r="I20" s="136">
        <f t="shared" si="2"/>
        <v>0</v>
      </c>
      <c r="J20" s="67"/>
      <c r="K20" s="11"/>
      <c r="L20" s="11"/>
      <c r="M20" s="3"/>
    </row>
    <row r="21" spans="1:13" ht="15.75">
      <c r="A21" s="712" t="s">
        <v>46</v>
      </c>
      <c r="B21" s="729"/>
      <c r="C21" s="729"/>
      <c r="D21" s="730"/>
      <c r="E21" s="623">
        <v>1</v>
      </c>
      <c r="F21" s="625">
        <f t="shared" si="0"/>
        <v>100</v>
      </c>
      <c r="G21" s="79">
        <v>1</v>
      </c>
      <c r="H21" s="136">
        <f t="shared" si="1"/>
        <v>100</v>
      </c>
      <c r="I21" s="136">
        <f t="shared" si="2"/>
        <v>0</v>
      </c>
      <c r="J21" s="67"/>
      <c r="K21" s="11"/>
      <c r="L21" s="11"/>
      <c r="M21" s="3"/>
    </row>
    <row r="22" spans="1:13" ht="15.75">
      <c r="A22" s="710" t="s">
        <v>47</v>
      </c>
      <c r="B22" s="729"/>
      <c r="C22" s="729"/>
      <c r="D22" s="730"/>
      <c r="E22" s="623">
        <v>30</v>
      </c>
      <c r="F22" s="625">
        <f t="shared" si="0"/>
        <v>3000</v>
      </c>
      <c r="G22" s="79">
        <v>1</v>
      </c>
      <c r="H22" s="136">
        <f t="shared" si="1"/>
        <v>3000</v>
      </c>
      <c r="I22" s="136">
        <f t="shared" si="2"/>
        <v>0</v>
      </c>
      <c r="J22" s="67"/>
      <c r="K22" s="11"/>
      <c r="L22" s="11"/>
      <c r="M22" s="3"/>
    </row>
    <row r="23" spans="1:13" ht="15.75">
      <c r="A23" s="710" t="s">
        <v>48</v>
      </c>
      <c r="B23" s="729"/>
      <c r="C23" s="729"/>
      <c r="D23" s="730"/>
      <c r="E23" s="623">
        <v>4</v>
      </c>
      <c r="F23" s="625">
        <f t="shared" si="0"/>
        <v>400</v>
      </c>
      <c r="G23" s="79">
        <v>1</v>
      </c>
      <c r="H23" s="136">
        <f t="shared" si="1"/>
        <v>400</v>
      </c>
      <c r="I23" s="136">
        <f t="shared" si="2"/>
        <v>0</v>
      </c>
      <c r="J23" s="67"/>
      <c r="K23" s="11"/>
      <c r="L23" s="11"/>
      <c r="M23" s="3"/>
    </row>
    <row r="24" spans="1:13" ht="15.75">
      <c r="A24" s="716" t="s">
        <v>263</v>
      </c>
      <c r="B24" s="735"/>
      <c r="C24" s="735"/>
      <c r="D24" s="742"/>
      <c r="E24" s="624">
        <v>18</v>
      </c>
      <c r="F24" s="626">
        <f t="shared" si="0"/>
        <v>1800</v>
      </c>
      <c r="G24" s="82">
        <v>1</v>
      </c>
      <c r="H24" s="641">
        <f t="shared" si="1"/>
        <v>1800</v>
      </c>
      <c r="I24" s="641">
        <f t="shared" si="2"/>
        <v>0</v>
      </c>
      <c r="J24" s="67"/>
      <c r="K24" s="11"/>
      <c r="L24" s="11"/>
      <c r="M24" s="3"/>
    </row>
    <row r="25" spans="1:13" ht="15.75">
      <c r="A25" s="72"/>
      <c r="B25" s="20" t="s">
        <v>49</v>
      </c>
      <c r="C25" s="20"/>
      <c r="D25" s="20"/>
      <c r="E25" s="136">
        <f>SUM(E14:E24)</f>
        <v>241</v>
      </c>
      <c r="F25" s="136">
        <f>SUM(F14:F24)</f>
        <v>24100</v>
      </c>
      <c r="G25" s="83"/>
      <c r="H25" s="136">
        <f>SUM(H14:H24)</f>
        <v>24100</v>
      </c>
      <c r="I25" s="136">
        <f>SUM(I14:I24)</f>
        <v>0</v>
      </c>
      <c r="J25" s="67"/>
      <c r="K25" s="11"/>
      <c r="L25" s="11"/>
      <c r="M25" s="3"/>
    </row>
    <row r="26" spans="1:13" ht="15.75">
      <c r="A26" s="72"/>
      <c r="B26" s="20"/>
      <c r="C26" s="20"/>
      <c r="D26" s="20"/>
      <c r="E26" s="640"/>
      <c r="F26" s="113"/>
      <c r="G26" s="86"/>
      <c r="H26" s="113"/>
      <c r="I26" s="113"/>
      <c r="J26" s="67"/>
      <c r="K26" s="11"/>
      <c r="L26" s="11"/>
      <c r="M26" s="3"/>
    </row>
    <row r="27" spans="1:13" ht="15.75">
      <c r="A27" s="710" t="s">
        <v>50</v>
      </c>
      <c r="B27" s="740"/>
      <c r="C27" s="740"/>
      <c r="D27" s="741"/>
      <c r="E27" s="136">
        <f>E29*(E28/12)*E25</f>
        <v>9.539583333333335</v>
      </c>
      <c r="F27" s="625">
        <f>E27*$D$5</f>
        <v>953.9583333333335</v>
      </c>
      <c r="G27" s="503">
        <v>1</v>
      </c>
      <c r="H27" s="136">
        <f>F27*G27</f>
        <v>953.9583333333335</v>
      </c>
      <c r="I27" s="136">
        <f>F27*(1-G27)</f>
        <v>0</v>
      </c>
      <c r="J27" s="88"/>
      <c r="K27" s="11"/>
      <c r="L27" s="11"/>
      <c r="M27" s="3"/>
    </row>
    <row r="28" spans="1:13" ht="15.75">
      <c r="A28" s="722" t="s">
        <v>51</v>
      </c>
      <c r="B28" s="729"/>
      <c r="C28" s="729"/>
      <c r="D28" s="730"/>
      <c r="E28" s="89">
        <v>5</v>
      </c>
      <c r="F28" s="90"/>
      <c r="G28" s="91"/>
      <c r="H28" s="91"/>
      <c r="I28" s="91"/>
      <c r="J28" s="67"/>
      <c r="K28" s="11"/>
      <c r="L28" s="11"/>
      <c r="M28" s="3"/>
    </row>
    <row r="29" spans="1:13" ht="15.75">
      <c r="A29" s="737" t="s">
        <v>52</v>
      </c>
      <c r="B29" s="738"/>
      <c r="C29" s="738"/>
      <c r="D29" s="739"/>
      <c r="E29" s="92">
        <v>0.095</v>
      </c>
      <c r="F29" s="93"/>
      <c r="G29" s="94"/>
      <c r="H29" s="94"/>
      <c r="I29" s="95"/>
      <c r="J29" s="67"/>
      <c r="K29" s="11"/>
      <c r="L29" s="11"/>
      <c r="M29" s="3"/>
    </row>
    <row r="30" spans="1:13" ht="15.75">
      <c r="A30" s="491"/>
      <c r="B30" s="489"/>
      <c r="C30" s="489"/>
      <c r="D30" s="489"/>
      <c r="E30" s="476"/>
      <c r="F30" s="90"/>
      <c r="G30" s="91"/>
      <c r="H30" s="91"/>
      <c r="I30" s="91"/>
      <c r="J30" s="67"/>
      <c r="K30" s="11"/>
      <c r="L30" s="11"/>
      <c r="M30" s="3"/>
    </row>
    <row r="31" spans="1:13" ht="15.75">
      <c r="A31" s="98" t="s">
        <v>53</v>
      </c>
      <c r="B31" s="40"/>
      <c r="C31" s="40"/>
      <c r="D31" s="40"/>
      <c r="E31" s="76"/>
      <c r="F31" s="76"/>
      <c r="G31" s="99"/>
      <c r="H31" s="99"/>
      <c r="I31" s="100"/>
      <c r="J31" s="67"/>
      <c r="K31" s="11"/>
      <c r="L31" s="11"/>
      <c r="M31" s="3"/>
    </row>
    <row r="32" spans="1:13" ht="15.75">
      <c r="A32" s="72" t="s">
        <v>63</v>
      </c>
      <c r="B32" s="20"/>
      <c r="C32" s="20"/>
      <c r="D32" s="20"/>
      <c r="E32" s="623">
        <v>10</v>
      </c>
      <c r="F32" s="625">
        <f>E32*$D$5</f>
        <v>1000</v>
      </c>
      <c r="G32" s="504">
        <v>1</v>
      </c>
      <c r="H32" s="627">
        <f>F32*G32</f>
        <v>1000</v>
      </c>
      <c r="I32" s="627">
        <f>F32*(1-G32)</f>
        <v>0</v>
      </c>
      <c r="J32" s="67"/>
      <c r="K32" s="11"/>
      <c r="L32" s="11"/>
      <c r="M32" s="3"/>
    </row>
    <row r="33" spans="1:13" ht="15.75">
      <c r="A33" s="72"/>
      <c r="B33" s="20" t="s">
        <v>55</v>
      </c>
      <c r="C33" s="20"/>
      <c r="D33" s="20"/>
      <c r="E33" s="630"/>
      <c r="F33" s="642"/>
      <c r="G33" s="504"/>
      <c r="H33" s="627"/>
      <c r="I33" s="627"/>
      <c r="J33" s="67"/>
      <c r="K33" s="11"/>
      <c r="L33" s="11"/>
      <c r="M33" s="3"/>
    </row>
    <row r="34" spans="1:13" ht="15.75">
      <c r="A34" s="716" t="s">
        <v>56</v>
      </c>
      <c r="B34" s="735"/>
      <c r="C34" s="735"/>
      <c r="D34" s="103"/>
      <c r="E34" s="643">
        <v>0</v>
      </c>
      <c r="F34" s="626">
        <f>E34*$D$5</f>
        <v>0</v>
      </c>
      <c r="G34" s="505">
        <v>1</v>
      </c>
      <c r="H34" s="632">
        <f>F34*G34</f>
        <v>0</v>
      </c>
      <c r="I34" s="628">
        <f>F34*(1-G34)</f>
        <v>0</v>
      </c>
      <c r="J34" s="67"/>
      <c r="K34" s="11"/>
      <c r="L34" s="11"/>
      <c r="M34" s="3"/>
    </row>
    <row r="35" spans="1:13" ht="15.75">
      <c r="A35" s="72"/>
      <c r="B35" s="490"/>
      <c r="C35" s="490"/>
      <c r="D35" s="20"/>
      <c r="E35" s="101"/>
      <c r="F35" s="78"/>
      <c r="G35" s="504"/>
      <c r="H35" s="80"/>
      <c r="I35" s="80"/>
      <c r="J35" s="67"/>
      <c r="K35" s="11"/>
      <c r="L35" s="11"/>
      <c r="M35" s="3"/>
    </row>
    <row r="36" spans="1:13" ht="15.75">
      <c r="A36" s="710" t="s">
        <v>57</v>
      </c>
      <c r="B36" s="729"/>
      <c r="C36" s="729"/>
      <c r="D36" s="20"/>
      <c r="E36" s="479">
        <f>E37*E29*(E38/12)</f>
        <v>4.75</v>
      </c>
      <c r="F36" s="625">
        <f>E36*$D$5</f>
        <v>475</v>
      </c>
      <c r="G36" s="504">
        <v>1</v>
      </c>
      <c r="H36" s="627">
        <f>F36*G36</f>
        <v>475</v>
      </c>
      <c r="I36" s="627">
        <f>F36*(1-G36)</f>
        <v>0</v>
      </c>
      <c r="J36" s="67"/>
      <c r="K36" s="11"/>
      <c r="L36" s="11"/>
      <c r="M36" s="3"/>
    </row>
    <row r="37" spans="1:13" ht="15.75">
      <c r="A37" s="712" t="s">
        <v>58</v>
      </c>
      <c r="B37" s="729"/>
      <c r="C37" s="729"/>
      <c r="D37" s="20"/>
      <c r="E37" s="633">
        <v>300</v>
      </c>
      <c r="F37" s="634"/>
      <c r="G37" s="91"/>
      <c r="H37" s="91"/>
      <c r="I37" s="91"/>
      <c r="J37" s="67"/>
      <c r="K37" s="11"/>
      <c r="L37" s="11"/>
      <c r="M37" s="3"/>
    </row>
    <row r="38" spans="1:13" ht="15.75">
      <c r="A38" s="718" t="s">
        <v>59</v>
      </c>
      <c r="B38" s="735"/>
      <c r="C38" s="735"/>
      <c r="D38" s="103"/>
      <c r="E38" s="105">
        <v>2</v>
      </c>
      <c r="F38" s="106"/>
      <c r="G38" s="107"/>
      <c r="H38" s="60"/>
      <c r="I38" s="108"/>
      <c r="J38" s="67"/>
      <c r="K38" s="11"/>
      <c r="L38" s="11"/>
      <c r="M38" s="3"/>
    </row>
    <row r="39" spans="1:13" ht="15.75">
      <c r="A39" s="491"/>
      <c r="B39" s="489"/>
      <c r="C39" s="489"/>
      <c r="D39" s="489"/>
      <c r="E39" s="479"/>
      <c r="F39" s="110"/>
      <c r="G39" s="91"/>
      <c r="H39" s="111"/>
      <c r="I39" s="111"/>
      <c r="J39" s="67"/>
      <c r="K39" s="11"/>
      <c r="L39" s="11"/>
      <c r="M39" s="3"/>
    </row>
    <row r="40" spans="1:13" ht="15.75">
      <c r="A40" s="491"/>
      <c r="B40" s="734" t="s">
        <v>60</v>
      </c>
      <c r="C40" s="734"/>
      <c r="D40" s="730"/>
      <c r="E40" s="479">
        <f>E25+E27+E32+E34+E36</f>
        <v>265.2895833333333</v>
      </c>
      <c r="F40" s="479">
        <f>F25+F27+F32+F34+F36</f>
        <v>26528.958333333332</v>
      </c>
      <c r="G40" s="91"/>
      <c r="H40" s="479">
        <f>H25+H27+H32+H34+H36</f>
        <v>26528.958333333332</v>
      </c>
      <c r="I40" s="479">
        <f>I25+I27+I32+I34+I36</f>
        <v>0</v>
      </c>
      <c r="J40" s="67"/>
      <c r="K40" s="11"/>
      <c r="L40" s="11"/>
      <c r="M40" s="3"/>
    </row>
    <row r="41" spans="1:13" ht="15.75">
      <c r="A41" s="492"/>
      <c r="B41" s="468"/>
      <c r="C41" s="468"/>
      <c r="D41" s="468"/>
      <c r="E41" s="498"/>
      <c r="F41" s="116"/>
      <c r="G41" s="117"/>
      <c r="H41" s="117"/>
      <c r="I41" s="118"/>
      <c r="J41" s="67"/>
      <c r="K41" s="11"/>
      <c r="L41" s="11"/>
      <c r="M41" s="3"/>
    </row>
    <row r="42" spans="1:13" ht="15.75">
      <c r="A42" s="491"/>
      <c r="B42" s="489"/>
      <c r="C42" s="489"/>
      <c r="D42" s="489"/>
      <c r="E42" s="476"/>
      <c r="F42" s="137"/>
      <c r="G42" s="138"/>
      <c r="H42" s="111"/>
      <c r="I42" s="111"/>
      <c r="J42" s="67"/>
      <c r="K42" s="11"/>
      <c r="L42" s="11"/>
      <c r="M42" s="3"/>
    </row>
    <row r="43" spans="1:13" ht="15.75">
      <c r="A43" s="710" t="s">
        <v>280</v>
      </c>
      <c r="B43" s="729"/>
      <c r="C43" s="729"/>
      <c r="D43" s="730"/>
      <c r="E43" s="623">
        <v>9</v>
      </c>
      <c r="F43" s="644">
        <f>E43*$D$5</f>
        <v>900</v>
      </c>
      <c r="G43" s="139">
        <v>1</v>
      </c>
      <c r="H43" s="645">
        <f>F43*G43</f>
        <v>900</v>
      </c>
      <c r="I43" s="646">
        <f>F43*(1-G43)</f>
        <v>0</v>
      </c>
      <c r="J43" s="67"/>
      <c r="K43" s="11"/>
      <c r="L43" s="11"/>
      <c r="M43" s="3"/>
    </row>
    <row r="44" spans="1:13" ht="15.75">
      <c r="A44" s="710" t="s">
        <v>281</v>
      </c>
      <c r="B44" s="729"/>
      <c r="C44" s="729"/>
      <c r="D44" s="730"/>
      <c r="E44" s="623">
        <v>20</v>
      </c>
      <c r="F44" s="644">
        <f>E44*D5</f>
        <v>2000</v>
      </c>
      <c r="G44" s="139">
        <v>1</v>
      </c>
      <c r="H44" s="645">
        <f>F44*G44</f>
        <v>2000</v>
      </c>
      <c r="I44" s="646">
        <f>F44*(1-G44)</f>
        <v>0</v>
      </c>
      <c r="J44" s="67"/>
      <c r="K44" s="11"/>
      <c r="L44" s="11"/>
      <c r="M44" s="3"/>
    </row>
    <row r="45" spans="1:13" ht="15.75">
      <c r="A45" s="72"/>
      <c r="B45" s="493"/>
      <c r="C45" s="493"/>
      <c r="D45" s="494"/>
      <c r="E45" s="499"/>
      <c r="F45" s="500"/>
      <c r="G45" s="501"/>
      <c r="H45" s="132"/>
      <c r="I45" s="133"/>
      <c r="J45" s="55"/>
      <c r="K45" s="11"/>
      <c r="L45" s="11"/>
      <c r="M45" s="3"/>
    </row>
    <row r="46" spans="1:13" ht="21.75" customHeight="1">
      <c r="A46" s="719" t="s">
        <v>61</v>
      </c>
      <c r="B46" s="736"/>
      <c r="C46" s="736"/>
      <c r="D46" s="736"/>
      <c r="E46" s="123">
        <f>E40+E43+E44</f>
        <v>294.2895833333333</v>
      </c>
      <c r="F46" s="123">
        <f>F40+F43+F44</f>
        <v>29428.958333333332</v>
      </c>
      <c r="G46" s="589"/>
      <c r="H46" s="123">
        <f>H40+H43+H44</f>
        <v>29428.958333333332</v>
      </c>
      <c r="I46" s="123">
        <f>I40+I43+I44</f>
        <v>0</v>
      </c>
      <c r="J46" s="55"/>
      <c r="K46" s="11"/>
      <c r="L46" s="11"/>
      <c r="M46" s="3"/>
    </row>
    <row r="47" spans="1:13" ht="15.75">
      <c r="A47" s="126"/>
      <c r="B47" s="126"/>
      <c r="C47" s="126"/>
      <c r="D47" s="126"/>
      <c r="E47" s="126"/>
      <c r="F47" s="126"/>
      <c r="G47" s="127"/>
      <c r="H47" s="127"/>
      <c r="I47" s="127"/>
      <c r="J47" s="7"/>
      <c r="K47" s="11"/>
      <c r="L47" s="11"/>
      <c r="M47" s="3"/>
    </row>
    <row r="48" spans="1:13" ht="15.75">
      <c r="A48" s="715"/>
      <c r="B48" s="715"/>
      <c r="C48" s="715"/>
      <c r="D48" s="715"/>
      <c r="E48" s="12"/>
      <c r="F48" s="12"/>
      <c r="G48" s="12"/>
      <c r="H48" s="12"/>
      <c r="I48" s="12"/>
      <c r="J48" s="7"/>
      <c r="K48" s="11"/>
      <c r="L48" s="11"/>
      <c r="M48" s="3"/>
    </row>
    <row r="49" spans="1:13" ht="15">
      <c r="A49" s="11"/>
      <c r="B49" s="11"/>
      <c r="C49" s="11"/>
      <c r="D49" s="11"/>
      <c r="E49" s="3"/>
      <c r="F49" s="3"/>
      <c r="G49" s="3"/>
      <c r="H49" s="11"/>
      <c r="I49" s="11"/>
      <c r="J49" s="11"/>
      <c r="K49" s="11"/>
      <c r="L49" s="11"/>
      <c r="M49" s="3"/>
    </row>
    <row r="50" spans="1:13" ht="15">
      <c r="A50" s="3"/>
      <c r="B50" s="3"/>
      <c r="C50" s="3"/>
      <c r="D50" s="3"/>
      <c r="E50" s="3"/>
      <c r="F50" s="3"/>
      <c r="G50" s="3"/>
      <c r="H50" s="11"/>
      <c r="I50" s="11"/>
      <c r="J50" s="11"/>
      <c r="K50" s="11"/>
      <c r="L50" s="11"/>
      <c r="M50" s="3"/>
    </row>
    <row r="51" spans="1:13" ht="15">
      <c r="A51" s="3"/>
      <c r="B51" s="3"/>
      <c r="C51" s="3"/>
      <c r="D51" s="3"/>
      <c r="E51" s="3"/>
      <c r="F51" s="3"/>
      <c r="G51" s="3"/>
      <c r="H51" s="11"/>
      <c r="I51" s="11"/>
      <c r="J51" s="11"/>
      <c r="K51" s="11"/>
      <c r="L51" s="11"/>
      <c r="M51" s="3"/>
    </row>
    <row r="52" spans="1:13" ht="15">
      <c r="A52" s="3"/>
      <c r="B52" s="3"/>
      <c r="C52" s="3"/>
      <c r="D52" s="3"/>
      <c r="E52" s="3"/>
      <c r="F52" s="3"/>
      <c r="G52" s="3"/>
      <c r="H52" s="11"/>
      <c r="I52" s="11"/>
      <c r="J52" s="11"/>
      <c r="K52" s="11"/>
      <c r="L52" s="11"/>
      <c r="M52" s="3"/>
    </row>
  </sheetData>
  <sheetProtection sheet="1" objects="1" scenarios="1"/>
  <mergeCells count="30">
    <mergeCell ref="A37:C37"/>
    <mergeCell ref="A44:D44"/>
    <mergeCell ref="F3:F4"/>
    <mergeCell ref="G3:G4"/>
    <mergeCell ref="E3:E4"/>
    <mergeCell ref="A14:D14"/>
    <mergeCell ref="C3:C4"/>
    <mergeCell ref="B3:B4"/>
    <mergeCell ref="D3:D4"/>
    <mergeCell ref="A7:H7"/>
    <mergeCell ref="A17:D17"/>
    <mergeCell ref="A18:D18"/>
    <mergeCell ref="A19:D19"/>
    <mergeCell ref="A20:D20"/>
    <mergeCell ref="A21:D21"/>
    <mergeCell ref="A48:D48"/>
    <mergeCell ref="A36:C36"/>
    <mergeCell ref="A34:C34"/>
    <mergeCell ref="A38:C38"/>
    <mergeCell ref="A46:D46"/>
    <mergeCell ref="A28:D28"/>
    <mergeCell ref="A29:D29"/>
    <mergeCell ref="A27:D27"/>
    <mergeCell ref="A43:D43"/>
    <mergeCell ref="B40:D40"/>
    <mergeCell ref="A15:D15"/>
    <mergeCell ref="A16:D16"/>
    <mergeCell ref="A24:D24"/>
    <mergeCell ref="A23:D23"/>
    <mergeCell ref="A22:D22"/>
  </mergeCells>
  <printOptions/>
  <pageMargins left="0.75" right="0.75" top="1" bottom="1" header="0.5" footer="0.5"/>
  <pageSetup fitToHeight="1" fitToWidth="1" horizontalDpi="600" verticalDpi="600" orientation="portrait" scale="54" r:id="rId3"/>
  <headerFooter alignWithMargins="0">
    <oddFooter>&amp;L&amp;F&amp;CUniversity of Idaho&amp;R&amp;A</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showGridLines="0" zoomScale="85" zoomScaleNormal="85" zoomScalePageLayoutView="0" workbookViewId="0" topLeftCell="A1">
      <pane ySplit="12" topLeftCell="A13" activePane="bottomLeft" state="frozen"/>
      <selection pane="topLeft" activeCell="A1" sqref="A1"/>
      <selection pane="bottomLeft" activeCell="A1" sqref="A1"/>
    </sheetView>
  </sheetViews>
  <sheetFormatPr defaultColWidth="9.00390625" defaultRowHeight="14.25"/>
  <cols>
    <col min="1" max="1" width="8.875" style="1" customWidth="1"/>
    <col min="2" max="2" width="12.625" style="1" customWidth="1"/>
    <col min="3" max="3" width="12.75390625" style="1" customWidth="1"/>
    <col min="4" max="4" width="11.875" style="1" customWidth="1"/>
    <col min="5" max="5" width="12.125" style="1" customWidth="1"/>
    <col min="6" max="6" width="12.25390625" style="1" customWidth="1"/>
    <col min="7" max="9" width="12.75390625" style="1" customWidth="1"/>
    <col min="10" max="10" width="12.625" style="1" customWidth="1"/>
    <col min="11" max="16384" width="9.00390625" style="1" customWidth="1"/>
  </cols>
  <sheetData>
    <row r="1" spans="1:13" ht="15">
      <c r="A1" s="11"/>
      <c r="B1" s="11"/>
      <c r="C1" s="11"/>
      <c r="D1" s="11"/>
      <c r="E1" s="11"/>
      <c r="F1" s="11"/>
      <c r="G1" s="11"/>
      <c r="H1" s="11"/>
      <c r="I1" s="11"/>
      <c r="J1" s="11"/>
      <c r="K1" s="11"/>
      <c r="L1" s="3"/>
      <c r="M1" s="3"/>
    </row>
    <row r="2" spans="1:13" ht="16.5" thickBot="1">
      <c r="A2" s="128"/>
      <c r="B2" s="47" t="str">
        <f>Crops!B9</f>
        <v>Crop#1</v>
      </c>
      <c r="C2" s="47" t="str">
        <f>Crops!C9</f>
        <v>Crop#2</v>
      </c>
      <c r="D2" s="47" t="str">
        <f>Crops!D9</f>
        <v>Crop#3</v>
      </c>
      <c r="E2" s="517" t="str">
        <f>Crops!E9</f>
        <v>Crop#4</v>
      </c>
      <c r="F2" s="47" t="str">
        <f>Crops!F9</f>
        <v>Crop#5</v>
      </c>
      <c r="G2" s="47" t="str">
        <f>Crops!G9</f>
        <v>Crop#6</v>
      </c>
      <c r="H2" s="3"/>
      <c r="I2" s="3"/>
      <c r="J2" s="3"/>
      <c r="K2" s="3"/>
      <c r="L2" s="3"/>
      <c r="M2" s="3"/>
    </row>
    <row r="3" spans="1:13" ht="15.75" customHeight="1">
      <c r="A3" s="128"/>
      <c r="B3" s="731" t="str">
        <f>Crops!B10</f>
        <v>Potatoes: No-Storage</v>
      </c>
      <c r="C3" s="731" t="str">
        <f>Crops!C10</f>
        <v>Hard Red Spring Wheat</v>
      </c>
      <c r="D3" s="731" t="str">
        <f>Crops!D10</f>
        <v>Soft White Winter Wheat</v>
      </c>
      <c r="E3" s="714" t="str">
        <f>Crops!E10</f>
        <v>Malting Barley</v>
      </c>
      <c r="F3" s="731" t="str">
        <f>Crops!F10</f>
        <v>Field Corn </v>
      </c>
      <c r="G3" s="731" t="str">
        <f>Crops!G10</f>
        <v>Sugarbeets</v>
      </c>
      <c r="H3" s="3"/>
      <c r="I3" s="3"/>
      <c r="J3" s="3"/>
      <c r="K3" s="3"/>
      <c r="L3" s="3"/>
      <c r="M3" s="3"/>
    </row>
    <row r="4" spans="1:13" ht="15">
      <c r="A4" s="128"/>
      <c r="B4" s="732"/>
      <c r="C4" s="732"/>
      <c r="D4" s="732"/>
      <c r="E4" s="733"/>
      <c r="F4" s="732"/>
      <c r="G4" s="732"/>
      <c r="H4" s="3"/>
      <c r="I4" s="3"/>
      <c r="J4" s="3"/>
      <c r="K4" s="3"/>
      <c r="L4" s="3"/>
      <c r="M4" s="3"/>
    </row>
    <row r="5" spans="1:13" ht="15.75">
      <c r="A5" s="48" t="s">
        <v>27</v>
      </c>
      <c r="B5" s="129">
        <f>Crops!B12</f>
        <v>100</v>
      </c>
      <c r="C5" s="129">
        <f>Crops!C12</f>
        <v>100</v>
      </c>
      <c r="D5" s="129">
        <f>Crops!D12</f>
        <v>100</v>
      </c>
      <c r="E5" s="49">
        <f>Crops!E12</f>
        <v>100</v>
      </c>
      <c r="F5" s="129">
        <f>Crops!F12</f>
        <v>100</v>
      </c>
      <c r="G5" s="129">
        <f>Crops!G12</f>
        <v>100</v>
      </c>
      <c r="H5" s="50"/>
      <c r="I5" s="3"/>
      <c r="J5" s="3"/>
      <c r="K5" s="3"/>
      <c r="L5" s="3"/>
      <c r="M5" s="3"/>
    </row>
    <row r="6" spans="1:13" ht="15.75">
      <c r="A6" s="51"/>
      <c r="B6" s="51"/>
      <c r="C6" s="51"/>
      <c r="D6" s="12"/>
      <c r="E6" s="3"/>
      <c r="F6" s="52"/>
      <c r="G6" s="52"/>
      <c r="H6" s="38"/>
      <c r="I6" s="12"/>
      <c r="J6" s="7"/>
      <c r="K6" s="11"/>
      <c r="L6" s="3"/>
      <c r="M6" s="3"/>
    </row>
    <row r="7" spans="1:13" ht="15.75">
      <c r="A7" s="708" t="s">
        <v>65</v>
      </c>
      <c r="B7" s="709"/>
      <c r="C7" s="709"/>
      <c r="D7" s="709"/>
      <c r="E7" s="709"/>
      <c r="F7" s="709"/>
      <c r="G7" s="709"/>
      <c r="H7" s="709"/>
      <c r="I7" s="54"/>
      <c r="J7" s="55"/>
      <c r="K7" s="11"/>
      <c r="L7" s="3"/>
      <c r="M7" s="3"/>
    </row>
    <row r="8" spans="1:13" ht="15.75">
      <c r="A8" s="51"/>
      <c r="B8" s="51"/>
      <c r="C8" s="56"/>
      <c r="D8" s="57"/>
      <c r="E8" s="57"/>
      <c r="F8" s="57"/>
      <c r="G8" s="57"/>
      <c r="H8" s="57"/>
      <c r="I8" s="57"/>
      <c r="J8" s="55"/>
      <c r="K8" s="11"/>
      <c r="L8" s="3"/>
      <c r="M8" s="3"/>
    </row>
    <row r="9" spans="1:13" ht="15.75">
      <c r="A9" s="58" t="str">
        <f>E2</f>
        <v>Crop#4</v>
      </c>
      <c r="B9" s="59" t="str">
        <f>E3</f>
        <v>Malting Barley</v>
      </c>
      <c r="C9" s="59"/>
      <c r="D9" s="12"/>
      <c r="E9" s="38"/>
      <c r="F9" s="60"/>
      <c r="G9" s="38"/>
      <c r="H9" s="38"/>
      <c r="I9" s="60"/>
      <c r="J9" s="55"/>
      <c r="K9" s="11"/>
      <c r="L9" s="3"/>
      <c r="M9" s="3"/>
    </row>
    <row r="10" spans="1:13" ht="15.75">
      <c r="A10" s="40"/>
      <c r="B10" s="40"/>
      <c r="C10" s="40"/>
      <c r="D10" s="40"/>
      <c r="E10" s="62" t="s">
        <v>29</v>
      </c>
      <c r="F10" s="63" t="s">
        <v>30</v>
      </c>
      <c r="G10" s="64" t="s">
        <v>31</v>
      </c>
      <c r="H10" s="65" t="s">
        <v>32</v>
      </c>
      <c r="I10" s="66" t="s">
        <v>32</v>
      </c>
      <c r="J10" s="67"/>
      <c r="K10" s="11"/>
      <c r="L10" s="3"/>
      <c r="M10" s="3"/>
    </row>
    <row r="11" spans="1:13" ht="15.75">
      <c r="A11" s="20"/>
      <c r="B11" s="20"/>
      <c r="C11" s="20"/>
      <c r="D11" s="20"/>
      <c r="E11" s="68" t="s">
        <v>33</v>
      </c>
      <c r="F11" s="69" t="s">
        <v>13</v>
      </c>
      <c r="G11" s="70" t="s">
        <v>34</v>
      </c>
      <c r="H11" s="71" t="s">
        <v>34</v>
      </c>
      <c r="I11" s="66" t="s">
        <v>35</v>
      </c>
      <c r="J11" s="67"/>
      <c r="K11" s="11"/>
      <c r="L11" s="3"/>
      <c r="M11" s="3"/>
    </row>
    <row r="12" spans="1:13" ht="15.75">
      <c r="A12" s="72" t="s">
        <v>36</v>
      </c>
      <c r="B12" s="20"/>
      <c r="C12" s="20"/>
      <c r="D12" s="20"/>
      <c r="E12" s="73" t="s">
        <v>37</v>
      </c>
      <c r="F12" s="69" t="s">
        <v>29</v>
      </c>
      <c r="G12" s="70" t="s">
        <v>38</v>
      </c>
      <c r="H12" s="74" t="s">
        <v>38</v>
      </c>
      <c r="I12" s="75" t="s">
        <v>38</v>
      </c>
      <c r="J12" s="67"/>
      <c r="K12" s="11"/>
      <c r="L12" s="3"/>
      <c r="M12" s="3"/>
    </row>
    <row r="13" spans="1:13" ht="15.75">
      <c r="A13" s="40"/>
      <c r="B13" s="40"/>
      <c r="C13" s="40"/>
      <c r="D13" s="40"/>
      <c r="E13" s="76"/>
      <c r="F13" s="77"/>
      <c r="G13" s="76"/>
      <c r="H13" s="76"/>
      <c r="I13" s="76"/>
      <c r="J13" s="67"/>
      <c r="K13" s="11"/>
      <c r="L13" s="3"/>
      <c r="M13" s="3"/>
    </row>
    <row r="14" spans="1:13" ht="15.75">
      <c r="A14" s="712" t="s">
        <v>39</v>
      </c>
      <c r="B14" s="709"/>
      <c r="C14" s="709"/>
      <c r="D14" s="711"/>
      <c r="E14" s="623">
        <v>17</v>
      </c>
      <c r="F14" s="625">
        <f aca="true" t="shared" si="0" ref="F14:F24">E14*$E$5</f>
        <v>1700</v>
      </c>
      <c r="G14" s="79">
        <v>1</v>
      </c>
      <c r="H14" s="627">
        <f aca="true" t="shared" si="1" ref="H14:H24">F14*G14</f>
        <v>1700</v>
      </c>
      <c r="I14" s="627">
        <f aca="true" t="shared" si="2" ref="I14:I24">F14*(1-G14)</f>
        <v>0</v>
      </c>
      <c r="J14" s="67"/>
      <c r="K14" s="11"/>
      <c r="L14" s="3"/>
      <c r="M14" s="3"/>
    </row>
    <row r="15" spans="1:13" ht="15.75">
      <c r="A15" s="710" t="s">
        <v>40</v>
      </c>
      <c r="B15" s="709"/>
      <c r="C15" s="709"/>
      <c r="D15" s="711"/>
      <c r="E15" s="623">
        <v>33</v>
      </c>
      <c r="F15" s="625">
        <f t="shared" si="0"/>
        <v>3300</v>
      </c>
      <c r="G15" s="79">
        <v>1</v>
      </c>
      <c r="H15" s="627">
        <f t="shared" si="1"/>
        <v>3300</v>
      </c>
      <c r="I15" s="627">
        <f t="shared" si="2"/>
        <v>0</v>
      </c>
      <c r="J15" s="67"/>
      <c r="K15" s="11"/>
      <c r="L15" s="3"/>
      <c r="M15" s="3"/>
    </row>
    <row r="16" spans="1:13" ht="15.75">
      <c r="A16" s="710" t="s">
        <v>41</v>
      </c>
      <c r="B16" s="709"/>
      <c r="C16" s="709"/>
      <c r="D16" s="711"/>
      <c r="E16" s="623">
        <v>27</v>
      </c>
      <c r="F16" s="625">
        <f t="shared" si="0"/>
        <v>2700</v>
      </c>
      <c r="G16" s="79">
        <v>1</v>
      </c>
      <c r="H16" s="627">
        <f t="shared" si="1"/>
        <v>2700</v>
      </c>
      <c r="I16" s="627">
        <f t="shared" si="2"/>
        <v>0</v>
      </c>
      <c r="J16" s="67"/>
      <c r="K16" s="11"/>
      <c r="L16" s="3"/>
      <c r="M16" s="3"/>
    </row>
    <row r="17" spans="1:13" ht="15.75">
      <c r="A17" s="710" t="s">
        <v>42</v>
      </c>
      <c r="B17" s="709"/>
      <c r="C17" s="709"/>
      <c r="D17" s="711"/>
      <c r="E17" s="623">
        <v>46</v>
      </c>
      <c r="F17" s="625">
        <f t="shared" si="0"/>
        <v>4600</v>
      </c>
      <c r="G17" s="79">
        <v>1</v>
      </c>
      <c r="H17" s="627">
        <f t="shared" si="1"/>
        <v>4600</v>
      </c>
      <c r="I17" s="627">
        <f t="shared" si="2"/>
        <v>0</v>
      </c>
      <c r="J17" s="67"/>
      <c r="K17" s="11"/>
      <c r="L17" s="3"/>
      <c r="M17" s="3"/>
    </row>
    <row r="18" spans="1:13" ht="15.75">
      <c r="A18" s="710" t="s">
        <v>43</v>
      </c>
      <c r="B18" s="709"/>
      <c r="C18" s="709"/>
      <c r="D18" s="711"/>
      <c r="E18" s="623">
        <v>17</v>
      </c>
      <c r="F18" s="625">
        <f t="shared" si="0"/>
        <v>1700</v>
      </c>
      <c r="G18" s="79">
        <v>1</v>
      </c>
      <c r="H18" s="627">
        <f t="shared" si="1"/>
        <v>1700</v>
      </c>
      <c r="I18" s="627">
        <f t="shared" si="2"/>
        <v>0</v>
      </c>
      <c r="J18" s="67"/>
      <c r="K18" s="11"/>
      <c r="L18" s="3"/>
      <c r="M18" s="3"/>
    </row>
    <row r="19" spans="1:13" ht="15.75">
      <c r="A19" s="710" t="s">
        <v>44</v>
      </c>
      <c r="B19" s="709"/>
      <c r="C19" s="709"/>
      <c r="D19" s="711"/>
      <c r="E19" s="623">
        <v>8</v>
      </c>
      <c r="F19" s="625">
        <f t="shared" si="0"/>
        <v>800</v>
      </c>
      <c r="G19" s="79">
        <v>1</v>
      </c>
      <c r="H19" s="627">
        <f t="shared" si="1"/>
        <v>800</v>
      </c>
      <c r="I19" s="627">
        <f t="shared" si="2"/>
        <v>0</v>
      </c>
      <c r="J19" s="67"/>
      <c r="K19" s="11"/>
      <c r="L19" s="3"/>
      <c r="M19" s="3"/>
    </row>
    <row r="20" spans="1:13" ht="15.75">
      <c r="A20" s="710" t="s">
        <v>45</v>
      </c>
      <c r="B20" s="709"/>
      <c r="C20" s="709"/>
      <c r="D20" s="711"/>
      <c r="E20" s="623">
        <v>12</v>
      </c>
      <c r="F20" s="625">
        <f t="shared" si="0"/>
        <v>1200</v>
      </c>
      <c r="G20" s="79">
        <v>1</v>
      </c>
      <c r="H20" s="627">
        <f t="shared" si="1"/>
        <v>1200</v>
      </c>
      <c r="I20" s="627">
        <f t="shared" si="2"/>
        <v>0</v>
      </c>
      <c r="J20" s="67"/>
      <c r="K20" s="11"/>
      <c r="L20" s="3"/>
      <c r="M20" s="3"/>
    </row>
    <row r="21" spans="1:13" ht="15.75">
      <c r="A21" s="712" t="s">
        <v>46</v>
      </c>
      <c r="B21" s="709"/>
      <c r="C21" s="709"/>
      <c r="D21" s="711"/>
      <c r="E21" s="623">
        <v>1</v>
      </c>
      <c r="F21" s="625">
        <f t="shared" si="0"/>
        <v>100</v>
      </c>
      <c r="G21" s="79">
        <v>1</v>
      </c>
      <c r="H21" s="627">
        <f t="shared" si="1"/>
        <v>100</v>
      </c>
      <c r="I21" s="627">
        <f t="shared" si="2"/>
        <v>0</v>
      </c>
      <c r="J21" s="67"/>
      <c r="K21" s="11"/>
      <c r="L21" s="3"/>
      <c r="M21" s="3"/>
    </row>
    <row r="22" spans="1:13" ht="15.75">
      <c r="A22" s="710" t="s">
        <v>47</v>
      </c>
      <c r="B22" s="709"/>
      <c r="C22" s="709"/>
      <c r="D22" s="711"/>
      <c r="E22" s="623">
        <v>25</v>
      </c>
      <c r="F22" s="625">
        <f t="shared" si="0"/>
        <v>2500</v>
      </c>
      <c r="G22" s="79">
        <v>1</v>
      </c>
      <c r="H22" s="627">
        <f t="shared" si="1"/>
        <v>2500</v>
      </c>
      <c r="I22" s="627">
        <f t="shared" si="2"/>
        <v>0</v>
      </c>
      <c r="J22" s="67"/>
      <c r="K22" s="11"/>
      <c r="L22" s="3"/>
      <c r="M22" s="3"/>
    </row>
    <row r="23" spans="1:13" ht="15.75">
      <c r="A23" s="710" t="s">
        <v>48</v>
      </c>
      <c r="B23" s="709"/>
      <c r="C23" s="709"/>
      <c r="D23" s="711"/>
      <c r="E23" s="623">
        <v>5</v>
      </c>
      <c r="F23" s="625">
        <f t="shared" si="0"/>
        <v>500</v>
      </c>
      <c r="G23" s="79">
        <v>1</v>
      </c>
      <c r="H23" s="627">
        <f t="shared" si="1"/>
        <v>500</v>
      </c>
      <c r="I23" s="627">
        <f t="shared" si="2"/>
        <v>0</v>
      </c>
      <c r="J23" s="67"/>
      <c r="K23" s="11"/>
      <c r="L23" s="3"/>
      <c r="M23" s="3"/>
    </row>
    <row r="24" spans="1:13" ht="15.75">
      <c r="A24" s="716" t="s">
        <v>263</v>
      </c>
      <c r="B24" s="717"/>
      <c r="C24" s="717"/>
      <c r="D24" s="728"/>
      <c r="E24" s="624">
        <v>18</v>
      </c>
      <c r="F24" s="626">
        <f t="shared" si="0"/>
        <v>1800</v>
      </c>
      <c r="G24" s="82">
        <v>1</v>
      </c>
      <c r="H24" s="628">
        <f t="shared" si="1"/>
        <v>1800</v>
      </c>
      <c r="I24" s="628">
        <f t="shared" si="2"/>
        <v>0</v>
      </c>
      <c r="J24" s="67"/>
      <c r="K24" s="11"/>
      <c r="L24" s="3"/>
      <c r="M24" s="3"/>
    </row>
    <row r="25" spans="1:13" ht="15.75">
      <c r="A25" s="72"/>
      <c r="B25" s="20" t="s">
        <v>49</v>
      </c>
      <c r="C25" s="20"/>
      <c r="D25" s="20"/>
      <c r="E25" s="136">
        <f>SUM(E14:E24)</f>
        <v>209</v>
      </c>
      <c r="F25" s="136">
        <f>SUM(F14:F24)</f>
        <v>20900</v>
      </c>
      <c r="G25" s="83"/>
      <c r="H25" s="627">
        <f>SUM(H14:H24)</f>
        <v>20900</v>
      </c>
      <c r="I25" s="627">
        <f>SUM(I14:I24)</f>
        <v>0</v>
      </c>
      <c r="J25" s="67"/>
      <c r="K25" s="11"/>
      <c r="L25" s="3"/>
      <c r="M25" s="3"/>
    </row>
    <row r="26" spans="1:13" ht="15.75">
      <c r="A26" s="72"/>
      <c r="B26" s="20"/>
      <c r="C26" s="20"/>
      <c r="D26" s="20"/>
      <c r="E26" s="640"/>
      <c r="F26" s="113"/>
      <c r="G26" s="86"/>
      <c r="H26" s="629"/>
      <c r="I26" s="629"/>
      <c r="J26" s="67"/>
      <c r="K26" s="11"/>
      <c r="L26" s="3"/>
      <c r="M26" s="3"/>
    </row>
    <row r="27" spans="1:13" ht="15.75">
      <c r="A27" s="710" t="s">
        <v>50</v>
      </c>
      <c r="B27" s="726"/>
      <c r="C27" s="726"/>
      <c r="D27" s="727"/>
      <c r="E27" s="136">
        <f>E29*(E28/12)*E25</f>
        <v>8.272916666666667</v>
      </c>
      <c r="F27" s="625">
        <f>E27*$E$5</f>
        <v>827.2916666666667</v>
      </c>
      <c r="G27" s="503">
        <v>1</v>
      </c>
      <c r="H27" s="627">
        <f>F27*G27</f>
        <v>827.2916666666667</v>
      </c>
      <c r="I27" s="627">
        <f>F27*(1-G27)</f>
        <v>0</v>
      </c>
      <c r="J27" s="88"/>
      <c r="K27" s="11"/>
      <c r="L27" s="3"/>
      <c r="M27" s="3"/>
    </row>
    <row r="28" spans="1:13" ht="15.75">
      <c r="A28" s="722" t="s">
        <v>51</v>
      </c>
      <c r="B28" s="709"/>
      <c r="C28" s="709"/>
      <c r="D28" s="711"/>
      <c r="E28" s="89">
        <v>5</v>
      </c>
      <c r="F28" s="90"/>
      <c r="G28" s="91"/>
      <c r="H28" s="91"/>
      <c r="I28" s="91"/>
      <c r="J28" s="67"/>
      <c r="K28" s="11"/>
      <c r="L28" s="3"/>
      <c r="M28" s="3"/>
    </row>
    <row r="29" spans="1:13" ht="15.75">
      <c r="A29" s="723" t="s">
        <v>52</v>
      </c>
      <c r="B29" s="724"/>
      <c r="C29" s="724"/>
      <c r="D29" s="725"/>
      <c r="E29" s="92">
        <v>0.095</v>
      </c>
      <c r="F29" s="93"/>
      <c r="G29" s="94"/>
      <c r="H29" s="94"/>
      <c r="I29" s="95"/>
      <c r="J29" s="67"/>
      <c r="K29" s="11"/>
      <c r="L29" s="3"/>
      <c r="M29" s="3"/>
    </row>
    <row r="30" spans="1:13" ht="15.75">
      <c r="A30" s="96"/>
      <c r="B30" s="489"/>
      <c r="C30" s="489"/>
      <c r="D30" s="489"/>
      <c r="E30" s="476"/>
      <c r="F30" s="90"/>
      <c r="G30" s="91"/>
      <c r="H30" s="91"/>
      <c r="I30" s="91"/>
      <c r="J30" s="67"/>
      <c r="K30" s="11"/>
      <c r="L30" s="3"/>
      <c r="M30" s="3"/>
    </row>
    <row r="31" spans="1:13" ht="15.75">
      <c r="A31" s="98" t="s">
        <v>53</v>
      </c>
      <c r="B31" s="40"/>
      <c r="C31" s="40"/>
      <c r="D31" s="40"/>
      <c r="E31" s="76"/>
      <c r="F31" s="76"/>
      <c r="G31" s="99"/>
      <c r="H31" s="99"/>
      <c r="I31" s="100"/>
      <c r="J31" s="67"/>
      <c r="K31" s="11"/>
      <c r="L31" s="3"/>
      <c r="M31" s="3"/>
    </row>
    <row r="32" spans="1:13" ht="15.75">
      <c r="A32" s="72" t="s">
        <v>63</v>
      </c>
      <c r="B32" s="20"/>
      <c r="C32" s="20"/>
      <c r="D32" s="20"/>
      <c r="E32" s="623">
        <v>0</v>
      </c>
      <c r="F32" s="625">
        <f>E32*$E$5</f>
        <v>0</v>
      </c>
      <c r="G32" s="504">
        <v>1</v>
      </c>
      <c r="H32" s="627">
        <f>F32*G32</f>
        <v>0</v>
      </c>
      <c r="I32" s="627">
        <f>F32*(1-G32)</f>
        <v>0</v>
      </c>
      <c r="J32" s="67"/>
      <c r="K32" s="11"/>
      <c r="L32" s="3"/>
      <c r="M32" s="3"/>
    </row>
    <row r="33" spans="1:13" ht="15.75">
      <c r="A33" s="72"/>
      <c r="B33" s="20" t="s">
        <v>55</v>
      </c>
      <c r="C33" s="20"/>
      <c r="D33" s="20"/>
      <c r="E33" s="630"/>
      <c r="F33" s="642"/>
      <c r="G33" s="102"/>
      <c r="H33" s="627"/>
      <c r="I33" s="627"/>
      <c r="J33" s="67"/>
      <c r="K33" s="11"/>
      <c r="L33" s="3"/>
      <c r="M33" s="3"/>
    </row>
    <row r="34" spans="1:13" ht="15.75">
      <c r="A34" s="716" t="s">
        <v>56</v>
      </c>
      <c r="B34" s="717"/>
      <c r="C34" s="717"/>
      <c r="D34" s="103"/>
      <c r="E34" s="643">
        <v>0</v>
      </c>
      <c r="F34" s="626">
        <f>E34*$E$5</f>
        <v>0</v>
      </c>
      <c r="G34" s="505">
        <v>1</v>
      </c>
      <c r="H34" s="632">
        <f>F34*G34</f>
        <v>0</v>
      </c>
      <c r="I34" s="628">
        <f>F34*(1-G34)</f>
        <v>0</v>
      </c>
      <c r="J34" s="67"/>
      <c r="K34" s="11"/>
      <c r="L34" s="3"/>
      <c r="M34" s="3"/>
    </row>
    <row r="35" spans="1:13" ht="15.75">
      <c r="A35" s="72"/>
      <c r="B35" s="490"/>
      <c r="C35" s="490"/>
      <c r="D35" s="20"/>
      <c r="E35" s="478"/>
      <c r="F35" s="502"/>
      <c r="G35" s="102"/>
      <c r="H35" s="80"/>
      <c r="I35" s="80"/>
      <c r="J35" s="67"/>
      <c r="K35" s="11"/>
      <c r="L35" s="3"/>
      <c r="M35" s="3"/>
    </row>
    <row r="36" spans="1:13" ht="15.75">
      <c r="A36" s="710" t="s">
        <v>57</v>
      </c>
      <c r="B36" s="709"/>
      <c r="C36" s="709"/>
      <c r="D36" s="20"/>
      <c r="E36" s="647">
        <f>E37*E29*(E38/12)</f>
        <v>0</v>
      </c>
      <c r="F36" s="637">
        <f>E36*$E$5</f>
        <v>0</v>
      </c>
      <c r="G36" s="504">
        <v>1</v>
      </c>
      <c r="H36" s="627">
        <f>F36*G36</f>
        <v>0</v>
      </c>
      <c r="I36" s="627">
        <f>F36*(1-G36)</f>
        <v>0</v>
      </c>
      <c r="J36" s="67"/>
      <c r="K36" s="11"/>
      <c r="L36" s="3"/>
      <c r="M36" s="3"/>
    </row>
    <row r="37" spans="1:13" ht="15.75">
      <c r="A37" s="712" t="s">
        <v>58</v>
      </c>
      <c r="B37" s="709"/>
      <c r="C37" s="709"/>
      <c r="D37" s="20"/>
      <c r="E37" s="648">
        <v>300</v>
      </c>
      <c r="F37" s="649"/>
      <c r="G37" s="91"/>
      <c r="H37" s="91"/>
      <c r="I37" s="91"/>
      <c r="J37" s="67"/>
      <c r="K37" s="11"/>
      <c r="L37" s="3"/>
      <c r="M37" s="3"/>
    </row>
    <row r="38" spans="1:13" ht="15.75">
      <c r="A38" s="718" t="s">
        <v>59</v>
      </c>
      <c r="B38" s="717"/>
      <c r="C38" s="717"/>
      <c r="D38" s="103"/>
      <c r="E38" s="105">
        <v>0</v>
      </c>
      <c r="F38" s="106"/>
      <c r="G38" s="107"/>
      <c r="H38" s="60"/>
      <c r="I38" s="108"/>
      <c r="J38" s="67"/>
      <c r="K38" s="11"/>
      <c r="L38" s="3"/>
      <c r="M38" s="3"/>
    </row>
    <row r="39" spans="1:13" ht="15.75">
      <c r="A39" s="491"/>
      <c r="B39" s="489"/>
      <c r="C39" s="489"/>
      <c r="D39" s="489"/>
      <c r="E39" s="508"/>
      <c r="F39" s="143"/>
      <c r="G39" s="91"/>
      <c r="H39" s="111"/>
      <c r="I39" s="111"/>
      <c r="J39" s="67"/>
      <c r="K39" s="11"/>
      <c r="L39" s="3"/>
      <c r="M39" s="3"/>
    </row>
    <row r="40" spans="1:13" ht="15.75">
      <c r="A40" s="491"/>
      <c r="B40" s="734" t="s">
        <v>60</v>
      </c>
      <c r="C40" s="734"/>
      <c r="D40" s="730"/>
      <c r="E40" s="113">
        <f>E25+E27+E32+E34+E36</f>
        <v>217.27291666666667</v>
      </c>
      <c r="F40" s="113">
        <f>F25+F27+F32+F34+F36</f>
        <v>21727.291666666668</v>
      </c>
      <c r="G40" s="91"/>
      <c r="H40" s="113">
        <f>H25+H27+H32+H34+H36</f>
        <v>21727.291666666668</v>
      </c>
      <c r="I40" s="113">
        <f>I25+I27+I32+I34+I36</f>
        <v>0</v>
      </c>
      <c r="J40" s="67"/>
      <c r="K40" s="11"/>
      <c r="L40" s="3"/>
      <c r="M40" s="3"/>
    </row>
    <row r="41" spans="1:13" ht="15.75">
      <c r="A41" s="492"/>
      <c r="B41" s="468"/>
      <c r="C41" s="468"/>
      <c r="D41" s="468"/>
      <c r="E41" s="498"/>
      <c r="F41" s="116"/>
      <c r="G41" s="117"/>
      <c r="H41" s="117"/>
      <c r="I41" s="118"/>
      <c r="J41" s="67"/>
      <c r="K41" s="11"/>
      <c r="L41" s="3"/>
      <c r="M41" s="3"/>
    </row>
    <row r="42" spans="1:13" ht="15.75">
      <c r="A42" s="491"/>
      <c r="B42" s="489"/>
      <c r="C42" s="489"/>
      <c r="D42" s="489"/>
      <c r="E42" s="476"/>
      <c r="F42" s="119"/>
      <c r="G42" s="111"/>
      <c r="H42" s="111"/>
      <c r="I42" s="111"/>
      <c r="J42" s="67"/>
      <c r="K42" s="11"/>
      <c r="L42" s="11"/>
      <c r="M42" s="3"/>
    </row>
    <row r="43" spans="1:13" ht="15.75">
      <c r="A43" s="710" t="s">
        <v>282</v>
      </c>
      <c r="B43" s="709"/>
      <c r="C43" s="709"/>
      <c r="D43" s="711"/>
      <c r="E43" s="636">
        <v>10</v>
      </c>
      <c r="F43" s="637">
        <f>E43*$E$5</f>
        <v>1000</v>
      </c>
      <c r="G43" s="79">
        <v>1</v>
      </c>
      <c r="H43" s="136">
        <f>F43*G43</f>
        <v>1000</v>
      </c>
      <c r="I43" s="136">
        <f>F43*(1-G43)</f>
        <v>0</v>
      </c>
      <c r="J43" s="67"/>
      <c r="K43" s="11"/>
      <c r="L43" s="3"/>
      <c r="M43" s="3"/>
    </row>
    <row r="44" spans="1:13" ht="15.75">
      <c r="A44" s="710" t="s">
        <v>281</v>
      </c>
      <c r="B44" s="709"/>
      <c r="C44" s="709"/>
      <c r="D44" s="744"/>
      <c r="E44" s="650">
        <v>20</v>
      </c>
      <c r="F44" s="651">
        <f>E44*E5</f>
        <v>2000</v>
      </c>
      <c r="G44" s="79">
        <v>1</v>
      </c>
      <c r="H44" s="136">
        <f>F44*G44</f>
        <v>2000</v>
      </c>
      <c r="I44" s="136">
        <f>F44*(1-G44)</f>
        <v>0</v>
      </c>
      <c r="J44" s="67"/>
      <c r="K44" s="11"/>
      <c r="L44" s="3"/>
      <c r="M44" s="3"/>
    </row>
    <row r="45" spans="1:13" ht="15.75">
      <c r="A45" s="72"/>
      <c r="B45" s="493"/>
      <c r="C45" s="493"/>
      <c r="D45" s="494"/>
      <c r="E45" s="506"/>
      <c r="F45" s="507"/>
      <c r="G45" s="501"/>
      <c r="H45" s="140"/>
      <c r="I45" s="144"/>
      <c r="J45" s="55"/>
      <c r="K45" s="11"/>
      <c r="L45" s="3"/>
      <c r="M45" s="3"/>
    </row>
    <row r="46" spans="1:13" ht="21.75" customHeight="1">
      <c r="A46" s="719" t="s">
        <v>61</v>
      </c>
      <c r="B46" s="736"/>
      <c r="C46" s="736"/>
      <c r="D46" s="736"/>
      <c r="E46" s="145">
        <f>E40+E43+E44</f>
        <v>247.27291666666667</v>
      </c>
      <c r="F46" s="145">
        <f>F40+F43+F44</f>
        <v>24727.291666666668</v>
      </c>
      <c r="G46" s="589"/>
      <c r="H46" s="145">
        <f>H40+H43+H44</f>
        <v>24727.291666666668</v>
      </c>
      <c r="I46" s="145">
        <f>I40+I43+I44</f>
        <v>0</v>
      </c>
      <c r="J46" s="55"/>
      <c r="K46" s="11"/>
      <c r="L46" s="3"/>
      <c r="M46" s="3"/>
    </row>
    <row r="47" spans="1:13" ht="15.75">
      <c r="A47" s="126"/>
      <c r="B47" s="126"/>
      <c r="C47" s="126"/>
      <c r="D47" s="126"/>
      <c r="E47" s="126"/>
      <c r="F47" s="126"/>
      <c r="G47" s="127"/>
      <c r="H47" s="127"/>
      <c r="I47" s="127"/>
      <c r="J47" s="7"/>
      <c r="K47" s="11"/>
      <c r="L47" s="3"/>
      <c r="M47" s="3"/>
    </row>
    <row r="48" spans="1:13" ht="15.75">
      <c r="A48" s="715"/>
      <c r="B48" s="715"/>
      <c r="C48" s="715"/>
      <c r="D48" s="715"/>
      <c r="E48" s="12"/>
      <c r="F48" s="12"/>
      <c r="G48" s="12"/>
      <c r="H48" s="12"/>
      <c r="I48" s="12"/>
      <c r="J48" s="7"/>
      <c r="K48" s="11"/>
      <c r="L48" s="3"/>
      <c r="M48" s="3"/>
    </row>
    <row r="49" spans="1:13" ht="15">
      <c r="A49" s="3"/>
      <c r="B49" s="3"/>
      <c r="C49" s="3"/>
      <c r="D49" s="3"/>
      <c r="E49" s="3"/>
      <c r="F49" s="3"/>
      <c r="G49" s="3"/>
      <c r="H49" s="3"/>
      <c r="I49" s="3"/>
      <c r="J49" s="3"/>
      <c r="K49" s="3"/>
      <c r="L49" s="3"/>
      <c r="M49" s="3"/>
    </row>
    <row r="50" spans="1:13" ht="15">
      <c r="A50" s="3"/>
      <c r="B50" s="3"/>
      <c r="C50" s="3"/>
      <c r="D50" s="3"/>
      <c r="E50" s="3"/>
      <c r="F50" s="3"/>
      <c r="G50" s="3"/>
      <c r="H50" s="3"/>
      <c r="I50" s="3"/>
      <c r="J50" s="3"/>
      <c r="K50" s="3"/>
      <c r="L50" s="3"/>
      <c r="M50" s="3"/>
    </row>
    <row r="51" spans="1:13" ht="15">
      <c r="A51" s="3"/>
      <c r="B51" s="3"/>
      <c r="C51" s="3"/>
      <c r="D51" s="3"/>
      <c r="E51" s="3"/>
      <c r="F51" s="3"/>
      <c r="G51" s="3"/>
      <c r="H51" s="3"/>
      <c r="I51" s="3"/>
      <c r="J51" s="3"/>
      <c r="K51" s="3"/>
      <c r="L51" s="3"/>
      <c r="M51" s="3"/>
    </row>
    <row r="52" spans="1:13" ht="15">
      <c r="A52" s="3"/>
      <c r="B52" s="3"/>
      <c r="C52" s="3"/>
      <c r="D52" s="3"/>
      <c r="E52" s="3"/>
      <c r="F52" s="3"/>
      <c r="G52" s="3"/>
      <c r="H52" s="3"/>
      <c r="I52" s="3"/>
      <c r="J52" s="3"/>
      <c r="K52" s="3"/>
      <c r="L52" s="3"/>
      <c r="M52" s="3"/>
    </row>
  </sheetData>
  <sheetProtection sheet="1" objects="1" scenarios="1"/>
  <mergeCells count="30">
    <mergeCell ref="A37:C37"/>
    <mergeCell ref="A43:D43"/>
    <mergeCell ref="A44:D44"/>
    <mergeCell ref="F3:F4"/>
    <mergeCell ref="G3:G4"/>
    <mergeCell ref="E3:E4"/>
    <mergeCell ref="A14:D14"/>
    <mergeCell ref="C3:C4"/>
    <mergeCell ref="B3:B4"/>
    <mergeCell ref="D3:D4"/>
    <mergeCell ref="A18:D18"/>
    <mergeCell ref="A19:D19"/>
    <mergeCell ref="A20:D20"/>
    <mergeCell ref="A21:D21"/>
    <mergeCell ref="B40:D40"/>
    <mergeCell ref="A48:D48"/>
    <mergeCell ref="A36:C36"/>
    <mergeCell ref="A34:C34"/>
    <mergeCell ref="A38:C38"/>
    <mergeCell ref="A46:D46"/>
    <mergeCell ref="A28:D28"/>
    <mergeCell ref="A29:D29"/>
    <mergeCell ref="A27:D27"/>
    <mergeCell ref="A7:H7"/>
    <mergeCell ref="A15:D15"/>
    <mergeCell ref="A16:D16"/>
    <mergeCell ref="A24:D24"/>
    <mergeCell ref="A23:D23"/>
    <mergeCell ref="A22:D22"/>
    <mergeCell ref="A17:D17"/>
  </mergeCells>
  <printOptions/>
  <pageMargins left="0.75" right="0.75" top="1" bottom="1" header="0.5" footer="0.5"/>
  <pageSetup fitToHeight="1" fitToWidth="1" horizontalDpi="600" verticalDpi="600" orientation="portrait" scale="55" r:id="rId3"/>
  <headerFooter alignWithMargins="0">
    <oddFooter>&amp;L&amp;F&amp;CUniversity of Idaho&amp;R&amp;A</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showGridLines="0" zoomScale="85" zoomScaleNormal="85" zoomScalePageLayoutView="0" workbookViewId="0" topLeftCell="A1">
      <pane ySplit="12" topLeftCell="A13" activePane="bottomLeft" state="frozen"/>
      <selection pane="topLeft" activeCell="A1" sqref="A1"/>
      <selection pane="bottomLeft" activeCell="A1" sqref="A1"/>
    </sheetView>
  </sheetViews>
  <sheetFormatPr defaultColWidth="9.00390625" defaultRowHeight="14.25"/>
  <cols>
    <col min="1" max="1" width="8.875" style="1" customWidth="1"/>
    <col min="2" max="2" width="12.625" style="1" customWidth="1"/>
    <col min="3" max="3" width="12.75390625" style="1" customWidth="1"/>
    <col min="4" max="4" width="11.875" style="1" customWidth="1"/>
    <col min="5" max="5" width="12.125" style="1" customWidth="1"/>
    <col min="6" max="6" width="12.25390625" style="1" customWidth="1"/>
    <col min="7" max="9" width="12.75390625" style="1" customWidth="1"/>
    <col min="10" max="10" width="12.625" style="1" customWidth="1"/>
    <col min="11" max="16384" width="9.00390625" style="1" customWidth="1"/>
  </cols>
  <sheetData>
    <row r="1" spans="1:13" ht="15">
      <c r="A1" s="11"/>
      <c r="B1" s="11"/>
      <c r="C1" s="11"/>
      <c r="D1" s="11"/>
      <c r="E1" s="11"/>
      <c r="F1" s="11"/>
      <c r="G1" s="11"/>
      <c r="H1" s="11"/>
      <c r="I1" s="11"/>
      <c r="J1" s="11"/>
      <c r="K1" s="11"/>
      <c r="L1" s="3"/>
      <c r="M1" s="3"/>
    </row>
    <row r="2" spans="1:13" ht="16.5" thickBot="1">
      <c r="A2" s="128"/>
      <c r="B2" s="47" t="str">
        <f>Crops!B9</f>
        <v>Crop#1</v>
      </c>
      <c r="C2" s="47" t="str">
        <f>Crops!C9</f>
        <v>Crop#2</v>
      </c>
      <c r="D2" s="47" t="str">
        <f>Crops!D9</f>
        <v>Crop#3</v>
      </c>
      <c r="E2" s="47" t="str">
        <f>Crops!E9</f>
        <v>Crop#4</v>
      </c>
      <c r="F2" s="517" t="str">
        <f>Crops!F9</f>
        <v>Crop#5</v>
      </c>
      <c r="G2" s="47" t="str">
        <f>Crops!G9</f>
        <v>Crop#6</v>
      </c>
      <c r="H2" s="3"/>
      <c r="I2" s="3"/>
      <c r="J2" s="3"/>
      <c r="K2" s="3"/>
      <c r="L2" s="3"/>
      <c r="M2" s="3"/>
    </row>
    <row r="3" spans="1:13" ht="15.75" customHeight="1">
      <c r="A3" s="128"/>
      <c r="B3" s="731" t="str">
        <f>Crops!B10</f>
        <v>Potatoes: No-Storage</v>
      </c>
      <c r="C3" s="731" t="str">
        <f>Crops!C10</f>
        <v>Hard Red Spring Wheat</v>
      </c>
      <c r="D3" s="731" t="str">
        <f>Crops!D10</f>
        <v>Soft White Winter Wheat</v>
      </c>
      <c r="E3" s="731" t="str">
        <f>Crops!E10</f>
        <v>Malting Barley</v>
      </c>
      <c r="F3" s="714" t="str">
        <f>Crops!F10</f>
        <v>Field Corn </v>
      </c>
      <c r="G3" s="731" t="str">
        <f>Crops!G10</f>
        <v>Sugarbeets</v>
      </c>
      <c r="H3" s="3"/>
      <c r="I3" s="3"/>
      <c r="J3" s="3"/>
      <c r="K3" s="3"/>
      <c r="L3" s="3"/>
      <c r="M3" s="3"/>
    </row>
    <row r="4" spans="1:13" ht="15">
      <c r="A4" s="128"/>
      <c r="B4" s="732"/>
      <c r="C4" s="732"/>
      <c r="D4" s="732"/>
      <c r="E4" s="732"/>
      <c r="F4" s="733"/>
      <c r="G4" s="732"/>
      <c r="H4" s="3"/>
      <c r="I4" s="3"/>
      <c r="J4" s="3"/>
      <c r="K4" s="3"/>
      <c r="L4" s="3"/>
      <c r="M4" s="3"/>
    </row>
    <row r="5" spans="1:13" ht="15.75">
      <c r="A5" s="48" t="s">
        <v>27</v>
      </c>
      <c r="B5" s="129">
        <f>Crops!B12</f>
        <v>100</v>
      </c>
      <c r="C5" s="129">
        <f>Crops!C12</f>
        <v>100</v>
      </c>
      <c r="D5" s="129">
        <f>Crops!D12</f>
        <v>100</v>
      </c>
      <c r="E5" s="129">
        <f>Crops!E12</f>
        <v>100</v>
      </c>
      <c r="F5" s="49">
        <f>Crops!F12</f>
        <v>100</v>
      </c>
      <c r="G5" s="129">
        <f>Crops!G12</f>
        <v>100</v>
      </c>
      <c r="H5" s="50"/>
      <c r="I5" s="3"/>
      <c r="J5" s="3"/>
      <c r="K5" s="3"/>
      <c r="L5" s="3"/>
      <c r="M5" s="3"/>
    </row>
    <row r="6" spans="1:13" ht="15.75">
      <c r="A6" s="51"/>
      <c r="B6" s="51"/>
      <c r="C6" s="51"/>
      <c r="D6" s="12"/>
      <c r="E6" s="3"/>
      <c r="F6" s="52"/>
      <c r="G6" s="52"/>
      <c r="H6" s="38"/>
      <c r="I6" s="12"/>
      <c r="J6" s="7"/>
      <c r="K6" s="11"/>
      <c r="L6" s="3"/>
      <c r="M6" s="3"/>
    </row>
    <row r="7" spans="1:13" ht="15.75">
      <c r="A7" s="708" t="s">
        <v>66</v>
      </c>
      <c r="B7" s="709"/>
      <c r="C7" s="709"/>
      <c r="D7" s="709"/>
      <c r="E7" s="709"/>
      <c r="F7" s="709"/>
      <c r="G7" s="709"/>
      <c r="H7" s="709"/>
      <c r="I7" s="54"/>
      <c r="J7" s="55"/>
      <c r="K7" s="11"/>
      <c r="L7" s="3"/>
      <c r="M7" s="3"/>
    </row>
    <row r="8" spans="1:13" ht="15.75">
      <c r="A8" s="51"/>
      <c r="B8" s="51"/>
      <c r="C8" s="56"/>
      <c r="D8" s="57"/>
      <c r="E8" s="57"/>
      <c r="F8" s="57"/>
      <c r="G8" s="57"/>
      <c r="H8" s="57"/>
      <c r="I8" s="57"/>
      <c r="J8" s="55"/>
      <c r="K8" s="11"/>
      <c r="L8" s="3"/>
      <c r="M8" s="3"/>
    </row>
    <row r="9" spans="1:13" ht="15.75">
      <c r="A9" s="58" t="str">
        <f>F2</f>
        <v>Crop#5</v>
      </c>
      <c r="B9" s="59" t="str">
        <f>F3</f>
        <v>Field Corn </v>
      </c>
      <c r="C9" s="59"/>
      <c r="D9" s="12"/>
      <c r="E9" s="38"/>
      <c r="F9" s="60"/>
      <c r="G9" s="38"/>
      <c r="H9" s="38"/>
      <c r="I9" s="60"/>
      <c r="J9" s="55"/>
      <c r="K9" s="11"/>
      <c r="L9" s="3"/>
      <c r="M9" s="3"/>
    </row>
    <row r="10" spans="1:13" ht="15.75">
      <c r="A10" s="40"/>
      <c r="B10" s="40"/>
      <c r="C10" s="40"/>
      <c r="D10" s="40"/>
      <c r="E10" s="62" t="s">
        <v>29</v>
      </c>
      <c r="F10" s="63" t="s">
        <v>30</v>
      </c>
      <c r="G10" s="64" t="s">
        <v>31</v>
      </c>
      <c r="H10" s="65" t="s">
        <v>32</v>
      </c>
      <c r="I10" s="66" t="s">
        <v>32</v>
      </c>
      <c r="J10" s="67"/>
      <c r="K10" s="11"/>
      <c r="L10" s="3"/>
      <c r="M10" s="3"/>
    </row>
    <row r="11" spans="1:13" ht="15.75">
      <c r="A11" s="20"/>
      <c r="B11" s="20"/>
      <c r="C11" s="20"/>
      <c r="D11" s="20"/>
      <c r="E11" s="68" t="s">
        <v>33</v>
      </c>
      <c r="F11" s="69" t="s">
        <v>13</v>
      </c>
      <c r="G11" s="70" t="s">
        <v>34</v>
      </c>
      <c r="H11" s="71" t="s">
        <v>34</v>
      </c>
      <c r="I11" s="66" t="s">
        <v>35</v>
      </c>
      <c r="J11" s="67"/>
      <c r="K11" s="11"/>
      <c r="L11" s="3"/>
      <c r="M11" s="3"/>
    </row>
    <row r="12" spans="1:13" ht="15.75">
      <c r="A12" s="72" t="s">
        <v>36</v>
      </c>
      <c r="B12" s="20"/>
      <c r="C12" s="20"/>
      <c r="D12" s="20"/>
      <c r="E12" s="73" t="s">
        <v>37</v>
      </c>
      <c r="F12" s="69" t="s">
        <v>29</v>
      </c>
      <c r="G12" s="70" t="s">
        <v>38</v>
      </c>
      <c r="H12" s="74" t="s">
        <v>38</v>
      </c>
      <c r="I12" s="75" t="s">
        <v>38</v>
      </c>
      <c r="J12" s="67"/>
      <c r="K12" s="11"/>
      <c r="L12" s="3"/>
      <c r="M12" s="3"/>
    </row>
    <row r="13" spans="1:13" ht="15.75">
      <c r="A13" s="40"/>
      <c r="B13" s="40"/>
      <c r="C13" s="40"/>
      <c r="D13" s="40"/>
      <c r="E13" s="76"/>
      <c r="F13" s="77"/>
      <c r="G13" s="76"/>
      <c r="H13" s="76"/>
      <c r="I13" s="76"/>
      <c r="J13" s="67"/>
      <c r="K13" s="11"/>
      <c r="L13" s="3"/>
      <c r="M13" s="3"/>
    </row>
    <row r="14" spans="1:13" ht="15.75">
      <c r="A14" s="712" t="s">
        <v>39</v>
      </c>
      <c r="B14" s="709"/>
      <c r="C14" s="709"/>
      <c r="D14" s="711"/>
      <c r="E14" s="623">
        <v>41</v>
      </c>
      <c r="F14" s="625">
        <f aca="true" t="shared" si="0" ref="F14:F24">E14*$F$5</f>
        <v>4100</v>
      </c>
      <c r="G14" s="79">
        <v>1</v>
      </c>
      <c r="H14" s="627">
        <f aca="true" t="shared" si="1" ref="H14:H24">F14*G14</f>
        <v>4100</v>
      </c>
      <c r="I14" s="627">
        <f aca="true" t="shared" si="2" ref="I14:I24">F14*(1-G14)</f>
        <v>0</v>
      </c>
      <c r="J14" s="67"/>
      <c r="K14" s="11"/>
      <c r="L14" s="3"/>
      <c r="M14" s="3"/>
    </row>
    <row r="15" spans="1:13" ht="15.75">
      <c r="A15" s="710" t="s">
        <v>40</v>
      </c>
      <c r="B15" s="709"/>
      <c r="C15" s="709"/>
      <c r="D15" s="711"/>
      <c r="E15" s="623">
        <v>43</v>
      </c>
      <c r="F15" s="625">
        <f t="shared" si="0"/>
        <v>4300</v>
      </c>
      <c r="G15" s="79">
        <v>1</v>
      </c>
      <c r="H15" s="627">
        <f t="shared" si="1"/>
        <v>4300</v>
      </c>
      <c r="I15" s="627">
        <f t="shared" si="2"/>
        <v>0</v>
      </c>
      <c r="J15" s="67"/>
      <c r="K15" s="11"/>
      <c r="L15" s="3"/>
      <c r="M15" s="3"/>
    </row>
    <row r="16" spans="1:13" ht="15.75">
      <c r="A16" s="710" t="s">
        <v>41</v>
      </c>
      <c r="B16" s="709"/>
      <c r="C16" s="709"/>
      <c r="D16" s="711"/>
      <c r="E16" s="623">
        <v>28</v>
      </c>
      <c r="F16" s="625">
        <f t="shared" si="0"/>
        <v>2800</v>
      </c>
      <c r="G16" s="79">
        <v>1</v>
      </c>
      <c r="H16" s="627">
        <f t="shared" si="1"/>
        <v>2800</v>
      </c>
      <c r="I16" s="627">
        <f t="shared" si="2"/>
        <v>0</v>
      </c>
      <c r="J16" s="67"/>
      <c r="K16" s="11"/>
      <c r="L16" s="3"/>
      <c r="M16" s="3"/>
    </row>
    <row r="17" spans="1:13" ht="15.75">
      <c r="A17" s="710" t="s">
        <v>42</v>
      </c>
      <c r="B17" s="709"/>
      <c r="C17" s="709"/>
      <c r="D17" s="711"/>
      <c r="E17" s="623">
        <v>73</v>
      </c>
      <c r="F17" s="625">
        <f t="shared" si="0"/>
        <v>7300</v>
      </c>
      <c r="G17" s="79">
        <v>1</v>
      </c>
      <c r="H17" s="627">
        <f t="shared" si="1"/>
        <v>7300</v>
      </c>
      <c r="I17" s="627">
        <f t="shared" si="2"/>
        <v>0</v>
      </c>
      <c r="J17" s="67"/>
      <c r="K17" s="11"/>
      <c r="L17" s="3"/>
      <c r="M17" s="3"/>
    </row>
    <row r="18" spans="1:13" ht="15.75">
      <c r="A18" s="710" t="s">
        <v>43</v>
      </c>
      <c r="B18" s="709"/>
      <c r="C18" s="709"/>
      <c r="D18" s="711"/>
      <c r="E18" s="623">
        <v>35</v>
      </c>
      <c r="F18" s="625">
        <f t="shared" si="0"/>
        <v>3500</v>
      </c>
      <c r="G18" s="79">
        <v>1</v>
      </c>
      <c r="H18" s="627">
        <f t="shared" si="1"/>
        <v>3500</v>
      </c>
      <c r="I18" s="627">
        <f t="shared" si="2"/>
        <v>0</v>
      </c>
      <c r="J18" s="67"/>
      <c r="K18" s="11"/>
      <c r="L18" s="3"/>
      <c r="M18" s="3"/>
    </row>
    <row r="19" spans="1:13" ht="15.75">
      <c r="A19" s="710" t="s">
        <v>44</v>
      </c>
      <c r="B19" s="709"/>
      <c r="C19" s="709"/>
      <c r="D19" s="711"/>
      <c r="E19" s="623">
        <v>18</v>
      </c>
      <c r="F19" s="625">
        <f t="shared" si="0"/>
        <v>1800</v>
      </c>
      <c r="G19" s="79">
        <v>1</v>
      </c>
      <c r="H19" s="627">
        <f t="shared" si="1"/>
        <v>1800</v>
      </c>
      <c r="I19" s="627">
        <f t="shared" si="2"/>
        <v>0</v>
      </c>
      <c r="J19" s="67"/>
      <c r="K19" s="11"/>
      <c r="L19" s="3"/>
      <c r="M19" s="3"/>
    </row>
    <row r="20" spans="1:13" ht="15.75">
      <c r="A20" s="710" t="s">
        <v>45</v>
      </c>
      <c r="B20" s="709"/>
      <c r="C20" s="709"/>
      <c r="D20" s="711"/>
      <c r="E20" s="623">
        <v>15</v>
      </c>
      <c r="F20" s="625">
        <f t="shared" si="0"/>
        <v>1500</v>
      </c>
      <c r="G20" s="79">
        <v>1</v>
      </c>
      <c r="H20" s="627">
        <f t="shared" si="1"/>
        <v>1500</v>
      </c>
      <c r="I20" s="627">
        <f t="shared" si="2"/>
        <v>0</v>
      </c>
      <c r="J20" s="67"/>
      <c r="K20" s="11"/>
      <c r="L20" s="3"/>
      <c r="M20" s="3"/>
    </row>
    <row r="21" spans="1:13" ht="15.75">
      <c r="A21" s="712" t="s">
        <v>46</v>
      </c>
      <c r="B21" s="709"/>
      <c r="C21" s="709"/>
      <c r="D21" s="711"/>
      <c r="E21" s="623">
        <v>1</v>
      </c>
      <c r="F21" s="625">
        <f t="shared" si="0"/>
        <v>100</v>
      </c>
      <c r="G21" s="79">
        <v>1</v>
      </c>
      <c r="H21" s="627">
        <f t="shared" si="1"/>
        <v>100</v>
      </c>
      <c r="I21" s="627">
        <f t="shared" si="2"/>
        <v>0</v>
      </c>
      <c r="J21" s="67"/>
      <c r="K21" s="11"/>
      <c r="L21" s="3"/>
      <c r="M21" s="3"/>
    </row>
    <row r="22" spans="1:13" ht="15.75">
      <c r="A22" s="710" t="s">
        <v>47</v>
      </c>
      <c r="B22" s="709"/>
      <c r="C22" s="709"/>
      <c r="D22" s="711"/>
      <c r="E22" s="623">
        <v>38</v>
      </c>
      <c r="F22" s="625">
        <f t="shared" si="0"/>
        <v>3800</v>
      </c>
      <c r="G22" s="79">
        <v>1</v>
      </c>
      <c r="H22" s="627">
        <f t="shared" si="1"/>
        <v>3800</v>
      </c>
      <c r="I22" s="627">
        <f t="shared" si="2"/>
        <v>0</v>
      </c>
      <c r="J22" s="67"/>
      <c r="K22" s="11"/>
      <c r="L22" s="3"/>
      <c r="M22" s="3"/>
    </row>
    <row r="23" spans="1:13" ht="15.75">
      <c r="A23" s="710" t="s">
        <v>48</v>
      </c>
      <c r="B23" s="709"/>
      <c r="C23" s="709"/>
      <c r="D23" s="711"/>
      <c r="E23" s="623">
        <v>8</v>
      </c>
      <c r="F23" s="625">
        <f t="shared" si="0"/>
        <v>800</v>
      </c>
      <c r="G23" s="79">
        <v>1</v>
      </c>
      <c r="H23" s="627">
        <f t="shared" si="1"/>
        <v>800</v>
      </c>
      <c r="I23" s="627">
        <f t="shared" si="2"/>
        <v>0</v>
      </c>
      <c r="J23" s="67"/>
      <c r="K23" s="11"/>
      <c r="L23" s="3"/>
      <c r="M23" s="3"/>
    </row>
    <row r="24" spans="1:13" ht="15.75">
      <c r="A24" s="716" t="s">
        <v>263</v>
      </c>
      <c r="B24" s="717"/>
      <c r="C24" s="717"/>
      <c r="D24" s="728"/>
      <c r="E24" s="624">
        <v>18</v>
      </c>
      <c r="F24" s="626">
        <f t="shared" si="0"/>
        <v>1800</v>
      </c>
      <c r="G24" s="82">
        <v>1</v>
      </c>
      <c r="H24" s="628">
        <f t="shared" si="1"/>
        <v>1800</v>
      </c>
      <c r="I24" s="628">
        <f t="shared" si="2"/>
        <v>0</v>
      </c>
      <c r="J24" s="67"/>
      <c r="K24" s="11"/>
      <c r="L24" s="3"/>
      <c r="M24" s="3"/>
    </row>
    <row r="25" spans="1:13" ht="15.75">
      <c r="A25" s="72"/>
      <c r="B25" s="20" t="s">
        <v>49</v>
      </c>
      <c r="C25" s="20"/>
      <c r="D25" s="20"/>
      <c r="E25" s="136">
        <f>SUM(E14:E24)</f>
        <v>318</v>
      </c>
      <c r="F25" s="136">
        <f>SUM(F14:F24)</f>
        <v>31800</v>
      </c>
      <c r="G25" s="83"/>
      <c r="H25" s="627">
        <f>SUM(H14:H24)</f>
        <v>31800</v>
      </c>
      <c r="I25" s="627">
        <f>SUM(I14:I24)</f>
        <v>0</v>
      </c>
      <c r="J25" s="67"/>
      <c r="K25" s="11"/>
      <c r="L25" s="3"/>
      <c r="M25" s="3"/>
    </row>
    <row r="26" spans="1:13" ht="15.75">
      <c r="A26" s="72"/>
      <c r="B26" s="20"/>
      <c r="C26" s="20"/>
      <c r="D26" s="20"/>
      <c r="E26" s="640"/>
      <c r="F26" s="113"/>
      <c r="G26" s="86"/>
      <c r="H26" s="629"/>
      <c r="I26" s="629"/>
      <c r="J26" s="67"/>
      <c r="K26" s="11"/>
      <c r="L26" s="3"/>
      <c r="M26" s="3"/>
    </row>
    <row r="27" spans="1:13" ht="15.75">
      <c r="A27" s="710" t="s">
        <v>50</v>
      </c>
      <c r="B27" s="726"/>
      <c r="C27" s="726"/>
      <c r="D27" s="727"/>
      <c r="E27" s="136">
        <f>E29*(E28/12)*E25</f>
        <v>12.587500000000002</v>
      </c>
      <c r="F27" s="625">
        <f>E27*$F$5</f>
        <v>1258.7500000000002</v>
      </c>
      <c r="G27" s="87">
        <v>1</v>
      </c>
      <c r="H27" s="627">
        <f>F27*G27</f>
        <v>1258.7500000000002</v>
      </c>
      <c r="I27" s="627">
        <f>F27*(1-G27)</f>
        <v>0</v>
      </c>
      <c r="J27" s="88"/>
      <c r="K27" s="11"/>
      <c r="L27" s="3"/>
      <c r="M27" s="3"/>
    </row>
    <row r="28" spans="1:13" ht="15.75">
      <c r="A28" s="722" t="s">
        <v>51</v>
      </c>
      <c r="B28" s="709"/>
      <c r="C28" s="709"/>
      <c r="D28" s="711"/>
      <c r="E28" s="89">
        <v>5</v>
      </c>
      <c r="F28" s="90"/>
      <c r="G28" s="91"/>
      <c r="H28" s="91"/>
      <c r="I28" s="91"/>
      <c r="J28" s="67"/>
      <c r="K28" s="11"/>
      <c r="L28" s="3"/>
      <c r="M28" s="3"/>
    </row>
    <row r="29" spans="1:13" ht="15.75">
      <c r="A29" s="723" t="s">
        <v>52</v>
      </c>
      <c r="B29" s="724"/>
      <c r="C29" s="724"/>
      <c r="D29" s="725"/>
      <c r="E29" s="92">
        <v>0.095</v>
      </c>
      <c r="F29" s="93"/>
      <c r="G29" s="94"/>
      <c r="H29" s="94"/>
      <c r="I29" s="95"/>
      <c r="J29" s="67"/>
      <c r="K29" s="11"/>
      <c r="L29" s="3"/>
      <c r="M29" s="3"/>
    </row>
    <row r="30" spans="1:13" ht="15.75">
      <c r="A30" s="96"/>
      <c r="B30" s="97"/>
      <c r="C30" s="97"/>
      <c r="D30" s="97"/>
      <c r="E30" s="83"/>
      <c r="F30" s="90"/>
      <c r="G30" s="91"/>
      <c r="H30" s="91"/>
      <c r="I30" s="91"/>
      <c r="J30" s="67"/>
      <c r="K30" s="11"/>
      <c r="L30" s="3"/>
      <c r="M30" s="3"/>
    </row>
    <row r="31" spans="1:13" ht="15.75">
      <c r="A31" s="98" t="s">
        <v>53</v>
      </c>
      <c r="B31" s="40"/>
      <c r="C31" s="40"/>
      <c r="D31" s="40"/>
      <c r="E31" s="76"/>
      <c r="F31" s="76"/>
      <c r="G31" s="99"/>
      <c r="H31" s="99"/>
      <c r="I31" s="100"/>
      <c r="J31" s="67"/>
      <c r="K31" s="11"/>
      <c r="L31" s="3"/>
      <c r="M31" s="3"/>
    </row>
    <row r="32" spans="1:13" ht="15.75">
      <c r="A32" s="72" t="s">
        <v>63</v>
      </c>
      <c r="B32" s="20"/>
      <c r="C32" s="20"/>
      <c r="D32" s="20"/>
      <c r="E32" s="623">
        <v>0</v>
      </c>
      <c r="F32" s="625">
        <f>E32*$F$5</f>
        <v>0</v>
      </c>
      <c r="G32" s="102">
        <v>1</v>
      </c>
      <c r="H32" s="627">
        <f>F32*G32</f>
        <v>0</v>
      </c>
      <c r="I32" s="627">
        <f>F32*(1-G32)</f>
        <v>0</v>
      </c>
      <c r="J32" s="67"/>
      <c r="K32" s="11"/>
      <c r="L32" s="3"/>
      <c r="M32" s="3"/>
    </row>
    <row r="33" spans="1:13" ht="15.75">
      <c r="A33" s="72"/>
      <c r="B33" s="20" t="s">
        <v>55</v>
      </c>
      <c r="C33" s="20"/>
      <c r="D33" s="20"/>
      <c r="E33" s="623"/>
      <c r="F33" s="625"/>
      <c r="G33" s="102"/>
      <c r="H33" s="627"/>
      <c r="I33" s="627"/>
      <c r="J33" s="67"/>
      <c r="K33" s="11"/>
      <c r="L33" s="3"/>
      <c r="M33" s="3"/>
    </row>
    <row r="34" spans="1:13" ht="15.75">
      <c r="A34" s="716" t="s">
        <v>56</v>
      </c>
      <c r="B34" s="717"/>
      <c r="C34" s="717"/>
      <c r="D34" s="103"/>
      <c r="E34" s="643">
        <v>0</v>
      </c>
      <c r="F34" s="626">
        <f>E34*$F$5</f>
        <v>0</v>
      </c>
      <c r="G34" s="104">
        <v>1</v>
      </c>
      <c r="H34" s="632">
        <f>F34*G34</f>
        <v>0</v>
      </c>
      <c r="I34" s="628">
        <f>F34*(1-G34)</f>
        <v>0</v>
      </c>
      <c r="J34" s="67"/>
      <c r="K34" s="11"/>
      <c r="L34" s="3"/>
      <c r="M34" s="3"/>
    </row>
    <row r="35" spans="1:13" ht="15.75">
      <c r="A35" s="72"/>
      <c r="B35" s="53"/>
      <c r="C35" s="53"/>
      <c r="D35" s="20"/>
      <c r="E35" s="101"/>
      <c r="F35" s="78"/>
      <c r="G35" s="102"/>
      <c r="H35" s="80"/>
      <c r="I35" s="80"/>
      <c r="J35" s="67"/>
      <c r="K35" s="11"/>
      <c r="L35" s="3"/>
      <c r="M35" s="3"/>
    </row>
    <row r="36" spans="1:13" ht="15.75">
      <c r="A36" s="710" t="s">
        <v>57</v>
      </c>
      <c r="B36" s="709"/>
      <c r="C36" s="709"/>
      <c r="D36" s="20"/>
      <c r="E36" s="479">
        <f>E37*E29*(E38/12)</f>
        <v>0</v>
      </c>
      <c r="F36" s="625">
        <f>E36*$F$5</f>
        <v>0</v>
      </c>
      <c r="G36" s="102">
        <v>1</v>
      </c>
      <c r="H36" s="627">
        <f>F36*G36</f>
        <v>0</v>
      </c>
      <c r="I36" s="627">
        <f>F36*(1-G36)</f>
        <v>0</v>
      </c>
      <c r="J36" s="67"/>
      <c r="K36" s="11"/>
      <c r="L36" s="3"/>
      <c r="M36" s="3"/>
    </row>
    <row r="37" spans="1:13" ht="15.75">
      <c r="A37" s="712" t="s">
        <v>58</v>
      </c>
      <c r="B37" s="709"/>
      <c r="C37" s="709"/>
      <c r="D37" s="20"/>
      <c r="E37" s="633">
        <v>0</v>
      </c>
      <c r="F37" s="634"/>
      <c r="G37" s="91"/>
      <c r="H37" s="91"/>
      <c r="I37" s="91"/>
      <c r="J37" s="67"/>
      <c r="K37" s="11"/>
      <c r="L37" s="3"/>
      <c r="M37" s="3"/>
    </row>
    <row r="38" spans="1:13" ht="15.75">
      <c r="A38" s="718" t="s">
        <v>59</v>
      </c>
      <c r="B38" s="717"/>
      <c r="C38" s="717"/>
      <c r="D38" s="103"/>
      <c r="E38" s="105">
        <v>0</v>
      </c>
      <c r="F38" s="106"/>
      <c r="G38" s="107"/>
      <c r="H38" s="60"/>
      <c r="I38" s="108"/>
      <c r="J38" s="67"/>
      <c r="K38" s="11"/>
      <c r="L38" s="3"/>
      <c r="M38" s="3"/>
    </row>
    <row r="39" spans="1:13" ht="15.75">
      <c r="A39" s="96"/>
      <c r="B39" s="97"/>
      <c r="C39" s="97"/>
      <c r="D39" s="97"/>
      <c r="E39" s="142"/>
      <c r="F39" s="143"/>
      <c r="G39" s="91"/>
      <c r="H39" s="111"/>
      <c r="I39" s="111"/>
      <c r="J39" s="67"/>
      <c r="K39" s="11"/>
      <c r="L39" s="3"/>
      <c r="M39" s="3"/>
    </row>
    <row r="40" spans="1:13" ht="15.75">
      <c r="A40" s="96"/>
      <c r="B40" s="721" t="s">
        <v>60</v>
      </c>
      <c r="C40" s="721"/>
      <c r="D40" s="711"/>
      <c r="E40" s="113">
        <f>E25+E27+E32+E34+E36</f>
        <v>330.5875</v>
      </c>
      <c r="F40" s="113">
        <f>F25+F27+F32+F34+F36</f>
        <v>33058.75</v>
      </c>
      <c r="G40" s="91"/>
      <c r="H40" s="113">
        <f>H25+H27+H32+H34+H36</f>
        <v>33058.75</v>
      </c>
      <c r="I40" s="113">
        <f>I25+I27+I32+I34+I36</f>
        <v>0</v>
      </c>
      <c r="J40" s="67"/>
      <c r="K40" s="11"/>
      <c r="L40" s="3"/>
      <c r="M40" s="3"/>
    </row>
    <row r="41" spans="1:13" ht="15.75">
      <c r="A41" s="114"/>
      <c r="B41" s="81"/>
      <c r="C41" s="81"/>
      <c r="D41" s="81"/>
      <c r="E41" s="115"/>
      <c r="F41" s="116"/>
      <c r="G41" s="117"/>
      <c r="H41" s="117"/>
      <c r="I41" s="118"/>
      <c r="J41" s="67"/>
      <c r="K41" s="11"/>
      <c r="L41" s="3"/>
      <c r="M41" s="3"/>
    </row>
    <row r="42" spans="1:13" ht="15.75">
      <c r="A42" s="96"/>
      <c r="B42" s="97"/>
      <c r="C42" s="97"/>
      <c r="D42" s="97"/>
      <c r="E42" s="83"/>
      <c r="F42" s="119"/>
      <c r="G42" s="111"/>
      <c r="H42" s="111"/>
      <c r="I42" s="111"/>
      <c r="J42" s="67"/>
      <c r="K42" s="11"/>
      <c r="L42" s="3"/>
      <c r="M42" s="3"/>
    </row>
    <row r="43" spans="1:13" ht="15.75">
      <c r="A43" s="710" t="s">
        <v>280</v>
      </c>
      <c r="B43" s="709"/>
      <c r="C43" s="709"/>
      <c r="D43" s="711"/>
      <c r="E43" s="623">
        <v>15</v>
      </c>
      <c r="F43" s="625">
        <f>E43*$F$5</f>
        <v>1500</v>
      </c>
      <c r="G43" s="79">
        <v>1</v>
      </c>
      <c r="H43" s="136">
        <f>F43*G43</f>
        <v>1500</v>
      </c>
      <c r="I43" s="136">
        <f>F43*(1-G43)</f>
        <v>0</v>
      </c>
      <c r="J43" s="67"/>
      <c r="K43" s="11"/>
      <c r="L43" s="3"/>
      <c r="M43" s="3"/>
    </row>
    <row r="44" spans="1:13" ht="15.75">
      <c r="A44" s="710" t="s">
        <v>281</v>
      </c>
      <c r="B44" s="709"/>
      <c r="C44" s="709"/>
      <c r="D44" s="711"/>
      <c r="E44" s="623">
        <v>22</v>
      </c>
      <c r="F44" s="625">
        <f>E44*$F$5</f>
        <v>2200</v>
      </c>
      <c r="G44" s="79">
        <v>1</v>
      </c>
      <c r="H44" s="136">
        <f>F44*G44</f>
        <v>2200</v>
      </c>
      <c r="I44" s="136">
        <f>F44*(1-G44)</f>
        <v>0</v>
      </c>
      <c r="J44" s="67"/>
      <c r="K44" s="11"/>
      <c r="L44" s="3"/>
      <c r="M44" s="3"/>
    </row>
    <row r="45" spans="5:13" ht="15">
      <c r="E45" s="146"/>
      <c r="F45" s="147"/>
      <c r="G45" s="148"/>
      <c r="H45" s="148"/>
      <c r="I45" s="148"/>
      <c r="J45" s="55"/>
      <c r="K45" s="11"/>
      <c r="L45" s="3"/>
      <c r="M45" s="3"/>
    </row>
    <row r="46" spans="1:13" ht="21.75" customHeight="1">
      <c r="A46" s="719" t="s">
        <v>61</v>
      </c>
      <c r="B46" s="720"/>
      <c r="C46" s="720"/>
      <c r="D46" s="720"/>
      <c r="E46" s="123">
        <f>E40+E43+E44</f>
        <v>367.5875</v>
      </c>
      <c r="F46" s="123">
        <f>F40+F43+F44</f>
        <v>36758.75</v>
      </c>
      <c r="G46" s="149"/>
      <c r="H46" s="123">
        <f>H40+H43+H44</f>
        <v>36758.75</v>
      </c>
      <c r="I46" s="123">
        <f>I40+I43+I44</f>
        <v>0</v>
      </c>
      <c r="J46" s="55"/>
      <c r="K46" s="11"/>
      <c r="L46" s="3"/>
      <c r="M46" s="3"/>
    </row>
    <row r="47" spans="1:13" ht="15.75">
      <c r="A47" s="126"/>
      <c r="B47" s="126"/>
      <c r="C47" s="126"/>
      <c r="D47" s="126"/>
      <c r="E47" s="126"/>
      <c r="F47" s="126"/>
      <c r="G47" s="127"/>
      <c r="H47" s="127"/>
      <c r="I47" s="127"/>
      <c r="J47" s="7"/>
      <c r="K47" s="11"/>
      <c r="L47" s="3"/>
      <c r="M47" s="3"/>
    </row>
    <row r="48" spans="1:13" ht="15.75">
      <c r="A48" s="715"/>
      <c r="B48" s="715"/>
      <c r="C48" s="715"/>
      <c r="D48" s="715"/>
      <c r="E48" s="12"/>
      <c r="F48" s="12"/>
      <c r="G48" s="12"/>
      <c r="H48" s="12"/>
      <c r="I48" s="12"/>
      <c r="J48" s="7"/>
      <c r="K48" s="11"/>
      <c r="L48" s="3"/>
      <c r="M48" s="3"/>
    </row>
    <row r="49" spans="1:13" ht="15">
      <c r="A49" s="3"/>
      <c r="B49" s="3"/>
      <c r="C49" s="3"/>
      <c r="D49" s="3"/>
      <c r="E49" s="3"/>
      <c r="F49" s="3"/>
      <c r="G49" s="3"/>
      <c r="H49" s="3"/>
      <c r="I49" s="3"/>
      <c r="J49" s="3"/>
      <c r="K49" s="3"/>
      <c r="L49" s="3"/>
      <c r="M49" s="3"/>
    </row>
    <row r="50" spans="1:13" ht="15">
      <c r="A50" s="3"/>
      <c r="B50" s="3"/>
      <c r="C50" s="3"/>
      <c r="D50" s="3"/>
      <c r="E50" s="3"/>
      <c r="F50" s="3"/>
      <c r="G50" s="3"/>
      <c r="H50" s="3"/>
      <c r="I50" s="3"/>
      <c r="J50" s="3"/>
      <c r="K50" s="3"/>
      <c r="L50" s="3"/>
      <c r="M50" s="3"/>
    </row>
    <row r="51" spans="1:13" ht="15">
      <c r="A51" s="3"/>
      <c r="B51" s="3"/>
      <c r="C51" s="3"/>
      <c r="D51" s="3"/>
      <c r="E51" s="3"/>
      <c r="F51" s="3"/>
      <c r="G51" s="3"/>
      <c r="H51" s="3"/>
      <c r="I51" s="3"/>
      <c r="J51" s="3"/>
      <c r="K51" s="3"/>
      <c r="L51" s="3"/>
      <c r="M51" s="3"/>
    </row>
    <row r="52" spans="1:13" ht="15">
      <c r="A52" s="3"/>
      <c r="B52" s="3"/>
      <c r="C52" s="3"/>
      <c r="D52" s="3"/>
      <c r="E52" s="3"/>
      <c r="F52" s="3"/>
      <c r="G52" s="3"/>
      <c r="H52" s="3"/>
      <c r="I52" s="3"/>
      <c r="J52" s="3"/>
      <c r="K52" s="3"/>
      <c r="L52" s="3"/>
      <c r="M52" s="3"/>
    </row>
  </sheetData>
  <sheetProtection sheet="1" objects="1" scenarios="1"/>
  <mergeCells count="30">
    <mergeCell ref="A28:D28"/>
    <mergeCell ref="A29:D29"/>
    <mergeCell ref="A27:D27"/>
    <mergeCell ref="A15:D15"/>
    <mergeCell ref="A16:D16"/>
    <mergeCell ref="A24:D24"/>
    <mergeCell ref="A23:D23"/>
    <mergeCell ref="A22:D22"/>
    <mergeCell ref="A17:D17"/>
    <mergeCell ref="A18:D18"/>
    <mergeCell ref="A21:D21"/>
    <mergeCell ref="A19:D19"/>
    <mergeCell ref="A20:D20"/>
    <mergeCell ref="A48:D48"/>
    <mergeCell ref="A36:C36"/>
    <mergeCell ref="A34:C34"/>
    <mergeCell ref="A38:C38"/>
    <mergeCell ref="A46:D46"/>
    <mergeCell ref="A43:D43"/>
    <mergeCell ref="A44:D44"/>
    <mergeCell ref="B40:D40"/>
    <mergeCell ref="A37:C37"/>
    <mergeCell ref="G3:G4"/>
    <mergeCell ref="E3:E4"/>
    <mergeCell ref="A14:D14"/>
    <mergeCell ref="C3:C4"/>
    <mergeCell ref="B3:B4"/>
    <mergeCell ref="D3:D4"/>
    <mergeCell ref="A7:H7"/>
    <mergeCell ref="F3:F4"/>
  </mergeCells>
  <printOptions/>
  <pageMargins left="0.75" right="0.75" top="1" bottom="1" header="0.5" footer="0.5"/>
  <pageSetup fitToHeight="1" fitToWidth="1" horizontalDpi="600" verticalDpi="600" orientation="portrait" scale="55" r:id="rId3"/>
  <headerFooter alignWithMargins="0">
    <oddFooter>&amp;L&amp;F&amp;CUniversity of Idaho&amp;R&amp;A</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showGridLines="0" zoomScale="85" zoomScaleNormal="85" zoomScalePageLayoutView="0" workbookViewId="0" topLeftCell="A1">
      <pane ySplit="12" topLeftCell="A13" activePane="bottomLeft" state="frozen"/>
      <selection pane="topLeft" activeCell="A1" sqref="A1"/>
      <selection pane="bottomLeft" activeCell="A1" sqref="A1"/>
    </sheetView>
  </sheetViews>
  <sheetFormatPr defaultColWidth="9.00390625" defaultRowHeight="14.25"/>
  <cols>
    <col min="1" max="1" width="8.875" style="1" customWidth="1"/>
    <col min="2" max="2" width="12.625" style="1" customWidth="1"/>
    <col min="3" max="3" width="12.75390625" style="1" customWidth="1"/>
    <col min="4" max="4" width="11.875" style="1" customWidth="1"/>
    <col min="5" max="5" width="12.125" style="1" customWidth="1"/>
    <col min="6" max="6" width="12.25390625" style="1" customWidth="1"/>
    <col min="7" max="9" width="12.75390625" style="1" customWidth="1"/>
    <col min="10" max="10" width="12.625" style="1" customWidth="1"/>
    <col min="11" max="16384" width="9.00390625" style="1" customWidth="1"/>
  </cols>
  <sheetData>
    <row r="1" spans="1:13" ht="15">
      <c r="A1" s="11"/>
      <c r="B1" s="11"/>
      <c r="C1" s="11"/>
      <c r="D1" s="11"/>
      <c r="E1" s="11"/>
      <c r="F1" s="11"/>
      <c r="G1" s="11"/>
      <c r="H1" s="11"/>
      <c r="I1" s="11"/>
      <c r="J1" s="11"/>
      <c r="K1" s="11"/>
      <c r="L1" s="3"/>
      <c r="M1" s="3"/>
    </row>
    <row r="2" spans="1:13" ht="16.5" thickBot="1">
      <c r="A2" s="128"/>
      <c r="B2" s="47" t="str">
        <f>Crops!B9</f>
        <v>Crop#1</v>
      </c>
      <c r="C2" s="47" t="str">
        <f>Crops!C9</f>
        <v>Crop#2</v>
      </c>
      <c r="D2" s="47" t="str">
        <f>Crops!D9</f>
        <v>Crop#3</v>
      </c>
      <c r="E2" s="47" t="str">
        <f>Crops!E9</f>
        <v>Crop#4</v>
      </c>
      <c r="F2" s="47" t="str">
        <f>Crops!F9</f>
        <v>Crop#5</v>
      </c>
      <c r="G2" s="517" t="str">
        <f>Crops!G9</f>
        <v>Crop#6</v>
      </c>
      <c r="H2" s="3"/>
      <c r="I2" s="3"/>
      <c r="J2" s="3"/>
      <c r="K2" s="3"/>
      <c r="L2" s="3"/>
      <c r="M2" s="3"/>
    </row>
    <row r="3" spans="1:13" ht="15.75" customHeight="1">
      <c r="A3" s="128"/>
      <c r="B3" s="731" t="str">
        <f>Crops!B10</f>
        <v>Potatoes: No-Storage</v>
      </c>
      <c r="C3" s="731" t="str">
        <f>Crops!C10</f>
        <v>Hard Red Spring Wheat</v>
      </c>
      <c r="D3" s="731" t="str">
        <f>Crops!D10</f>
        <v>Soft White Winter Wheat</v>
      </c>
      <c r="E3" s="731" t="str">
        <f>Crops!E10</f>
        <v>Malting Barley</v>
      </c>
      <c r="F3" s="731" t="str">
        <f>Crops!F10</f>
        <v>Field Corn </v>
      </c>
      <c r="G3" s="714" t="str">
        <f>Crops!G10</f>
        <v>Sugarbeets</v>
      </c>
      <c r="H3" s="3"/>
      <c r="I3" s="3"/>
      <c r="J3" s="3"/>
      <c r="K3" s="3"/>
      <c r="L3" s="3"/>
      <c r="M3" s="3"/>
    </row>
    <row r="4" spans="1:13" ht="15">
      <c r="A4" s="128"/>
      <c r="B4" s="732"/>
      <c r="C4" s="732"/>
      <c r="D4" s="732"/>
      <c r="E4" s="732"/>
      <c r="F4" s="732"/>
      <c r="G4" s="733"/>
      <c r="H4" s="3"/>
      <c r="I4" s="3"/>
      <c r="J4" s="3"/>
      <c r="K4" s="3"/>
      <c r="L4" s="3"/>
      <c r="M4" s="3"/>
    </row>
    <row r="5" spans="1:13" ht="15.75">
      <c r="A5" s="48" t="s">
        <v>27</v>
      </c>
      <c r="B5" s="129">
        <f>Crops!B12</f>
        <v>100</v>
      </c>
      <c r="C5" s="129">
        <f>Crops!C12</f>
        <v>100</v>
      </c>
      <c r="D5" s="129">
        <f>Crops!D12</f>
        <v>100</v>
      </c>
      <c r="E5" s="129">
        <f>Crops!E12</f>
        <v>100</v>
      </c>
      <c r="F5" s="129">
        <f>Crops!F12</f>
        <v>100</v>
      </c>
      <c r="G5" s="49">
        <f>Crops!G12</f>
        <v>100</v>
      </c>
      <c r="H5" s="50"/>
      <c r="I5" s="3"/>
      <c r="J5" s="3"/>
      <c r="K5" s="3"/>
      <c r="L5" s="3"/>
      <c r="M5" s="3"/>
    </row>
    <row r="6" spans="1:13" ht="15.75">
      <c r="A6" s="51"/>
      <c r="B6" s="51"/>
      <c r="C6" s="51"/>
      <c r="D6" s="12"/>
      <c r="E6" s="3"/>
      <c r="F6" s="52"/>
      <c r="G6" s="52"/>
      <c r="H6" s="38"/>
      <c r="I6" s="12"/>
      <c r="J6" s="7"/>
      <c r="K6" s="11"/>
      <c r="L6" s="3"/>
      <c r="M6" s="3"/>
    </row>
    <row r="7" spans="1:13" ht="15.75">
      <c r="A7" s="708" t="s">
        <v>67</v>
      </c>
      <c r="B7" s="709"/>
      <c r="C7" s="709"/>
      <c r="D7" s="709"/>
      <c r="E7" s="709"/>
      <c r="F7" s="709"/>
      <c r="G7" s="709"/>
      <c r="H7" s="709"/>
      <c r="I7" s="54"/>
      <c r="J7" s="55"/>
      <c r="K7" s="11"/>
      <c r="L7" s="3"/>
      <c r="M7" s="3"/>
    </row>
    <row r="8" spans="1:13" ht="15.75">
      <c r="A8" s="51"/>
      <c r="B8" s="51"/>
      <c r="C8" s="56"/>
      <c r="D8" s="57"/>
      <c r="E8" s="57"/>
      <c r="F8" s="57"/>
      <c r="G8" s="57"/>
      <c r="H8" s="57"/>
      <c r="I8" s="57"/>
      <c r="J8" s="55"/>
      <c r="K8" s="11"/>
      <c r="L8" s="3"/>
      <c r="M8" s="3"/>
    </row>
    <row r="9" spans="1:13" ht="15.75">
      <c r="A9" s="58" t="str">
        <f>G2</f>
        <v>Crop#6</v>
      </c>
      <c r="B9" s="59" t="str">
        <f>G3</f>
        <v>Sugarbeets</v>
      </c>
      <c r="C9" s="59"/>
      <c r="D9" s="12"/>
      <c r="E9" s="38"/>
      <c r="F9" s="60"/>
      <c r="G9" s="38"/>
      <c r="H9" s="38"/>
      <c r="I9" s="60"/>
      <c r="J9" s="55"/>
      <c r="K9" s="11"/>
      <c r="L9" s="3"/>
      <c r="M9" s="3"/>
    </row>
    <row r="10" spans="1:13" ht="15.75">
      <c r="A10" s="40"/>
      <c r="B10" s="40"/>
      <c r="C10" s="40"/>
      <c r="D10" s="40"/>
      <c r="E10" s="62" t="s">
        <v>29</v>
      </c>
      <c r="F10" s="63" t="s">
        <v>30</v>
      </c>
      <c r="G10" s="64" t="s">
        <v>31</v>
      </c>
      <c r="H10" s="65" t="s">
        <v>32</v>
      </c>
      <c r="I10" s="66" t="s">
        <v>32</v>
      </c>
      <c r="J10" s="67"/>
      <c r="K10" s="11"/>
      <c r="L10" s="3"/>
      <c r="M10" s="3"/>
    </row>
    <row r="11" spans="1:13" ht="15.75">
      <c r="A11" s="20"/>
      <c r="B11" s="20"/>
      <c r="C11" s="20"/>
      <c r="D11" s="20"/>
      <c r="E11" s="68" t="s">
        <v>33</v>
      </c>
      <c r="F11" s="69" t="s">
        <v>13</v>
      </c>
      <c r="G11" s="70" t="s">
        <v>34</v>
      </c>
      <c r="H11" s="71" t="s">
        <v>34</v>
      </c>
      <c r="I11" s="66" t="s">
        <v>35</v>
      </c>
      <c r="J11" s="67"/>
      <c r="K11" s="11"/>
      <c r="L11" s="3"/>
      <c r="M11" s="3"/>
    </row>
    <row r="12" spans="1:13" ht="15.75">
      <c r="A12" s="72" t="s">
        <v>36</v>
      </c>
      <c r="B12" s="20"/>
      <c r="C12" s="20"/>
      <c r="D12" s="20"/>
      <c r="E12" s="73" t="s">
        <v>37</v>
      </c>
      <c r="F12" s="69" t="s">
        <v>29</v>
      </c>
      <c r="G12" s="70" t="s">
        <v>38</v>
      </c>
      <c r="H12" s="74" t="s">
        <v>38</v>
      </c>
      <c r="I12" s="75" t="s">
        <v>38</v>
      </c>
      <c r="J12" s="67"/>
      <c r="K12" s="11"/>
      <c r="L12" s="3"/>
      <c r="M12" s="3"/>
    </row>
    <row r="13" spans="1:13" ht="15.75">
      <c r="A13" s="40"/>
      <c r="B13" s="40"/>
      <c r="C13" s="40"/>
      <c r="D13" s="40"/>
      <c r="E13" s="76"/>
      <c r="F13" s="77"/>
      <c r="G13" s="76"/>
      <c r="H13" s="76"/>
      <c r="I13" s="76"/>
      <c r="J13" s="67"/>
      <c r="K13" s="11"/>
      <c r="L13" s="3"/>
      <c r="M13" s="3"/>
    </row>
    <row r="14" spans="1:13" ht="15.75">
      <c r="A14" s="712" t="s">
        <v>39</v>
      </c>
      <c r="B14" s="709"/>
      <c r="C14" s="709"/>
      <c r="D14" s="711"/>
      <c r="E14" s="623">
        <v>46</v>
      </c>
      <c r="F14" s="625">
        <f aca="true" t="shared" si="0" ref="F14:F24">E14*$G$5</f>
        <v>4600</v>
      </c>
      <c r="G14" s="79">
        <v>1</v>
      </c>
      <c r="H14" s="627">
        <f aca="true" t="shared" si="1" ref="H14:H24">F14*G14</f>
        <v>4600</v>
      </c>
      <c r="I14" s="627">
        <f aca="true" t="shared" si="2" ref="I14:I24">F14*(1-G14)</f>
        <v>0</v>
      </c>
      <c r="J14" s="67"/>
      <c r="K14" s="11"/>
      <c r="L14" s="3"/>
      <c r="M14" s="3"/>
    </row>
    <row r="15" spans="1:13" ht="15.75">
      <c r="A15" s="710" t="s">
        <v>40</v>
      </c>
      <c r="B15" s="709"/>
      <c r="C15" s="709"/>
      <c r="D15" s="711"/>
      <c r="E15" s="623">
        <v>93</v>
      </c>
      <c r="F15" s="625">
        <f t="shared" si="0"/>
        <v>9300</v>
      </c>
      <c r="G15" s="79">
        <v>1</v>
      </c>
      <c r="H15" s="627">
        <f t="shared" si="1"/>
        <v>9300</v>
      </c>
      <c r="I15" s="627">
        <f t="shared" si="2"/>
        <v>0</v>
      </c>
      <c r="J15" s="67"/>
      <c r="K15" s="11"/>
      <c r="L15" s="3"/>
      <c r="M15" s="3"/>
    </row>
    <row r="16" spans="1:13" ht="15.75">
      <c r="A16" s="710" t="s">
        <v>41</v>
      </c>
      <c r="B16" s="709"/>
      <c r="C16" s="709"/>
      <c r="D16" s="711"/>
      <c r="E16" s="623">
        <v>62</v>
      </c>
      <c r="F16" s="625">
        <f t="shared" si="0"/>
        <v>6200</v>
      </c>
      <c r="G16" s="79">
        <v>1</v>
      </c>
      <c r="H16" s="627">
        <f t="shared" si="1"/>
        <v>6200</v>
      </c>
      <c r="I16" s="627">
        <f t="shared" si="2"/>
        <v>0</v>
      </c>
      <c r="J16" s="67"/>
      <c r="K16" s="11"/>
      <c r="L16" s="3"/>
      <c r="M16" s="3"/>
    </row>
    <row r="17" spans="1:13" ht="15.75">
      <c r="A17" s="710" t="s">
        <v>42</v>
      </c>
      <c r="B17" s="709"/>
      <c r="C17" s="709"/>
      <c r="D17" s="711"/>
      <c r="E17" s="623">
        <v>75</v>
      </c>
      <c r="F17" s="625">
        <f t="shared" si="0"/>
        <v>7500</v>
      </c>
      <c r="G17" s="79">
        <v>1</v>
      </c>
      <c r="H17" s="627">
        <f t="shared" si="1"/>
        <v>7500</v>
      </c>
      <c r="I17" s="627">
        <f t="shared" si="2"/>
        <v>0</v>
      </c>
      <c r="J17" s="67"/>
      <c r="K17" s="11"/>
      <c r="L17" s="3"/>
      <c r="M17" s="3"/>
    </row>
    <row r="18" spans="1:13" ht="15.75">
      <c r="A18" s="710" t="s">
        <v>43</v>
      </c>
      <c r="B18" s="709"/>
      <c r="C18" s="709"/>
      <c r="D18" s="711"/>
      <c r="E18" s="623">
        <v>34</v>
      </c>
      <c r="F18" s="625">
        <f t="shared" si="0"/>
        <v>3400</v>
      </c>
      <c r="G18" s="79">
        <v>1</v>
      </c>
      <c r="H18" s="627">
        <f t="shared" si="1"/>
        <v>3400</v>
      </c>
      <c r="I18" s="627">
        <f t="shared" si="2"/>
        <v>0</v>
      </c>
      <c r="J18" s="67"/>
      <c r="K18" s="11"/>
      <c r="L18" s="3"/>
      <c r="M18" s="3"/>
    </row>
    <row r="19" spans="1:13" ht="15.75">
      <c r="A19" s="710" t="s">
        <v>44</v>
      </c>
      <c r="B19" s="709"/>
      <c r="C19" s="709"/>
      <c r="D19" s="711"/>
      <c r="E19" s="623">
        <v>17</v>
      </c>
      <c r="F19" s="625">
        <f t="shared" si="0"/>
        <v>1700</v>
      </c>
      <c r="G19" s="79">
        <v>1</v>
      </c>
      <c r="H19" s="627">
        <f t="shared" si="1"/>
        <v>1700</v>
      </c>
      <c r="I19" s="627">
        <f t="shared" si="2"/>
        <v>0</v>
      </c>
      <c r="J19" s="67"/>
      <c r="K19" s="11"/>
      <c r="L19" s="3"/>
      <c r="M19" s="3"/>
    </row>
    <row r="20" spans="1:13" ht="15.75">
      <c r="A20" s="710" t="s">
        <v>45</v>
      </c>
      <c r="B20" s="709"/>
      <c r="C20" s="709"/>
      <c r="D20" s="711"/>
      <c r="E20" s="623">
        <v>36</v>
      </c>
      <c r="F20" s="625">
        <f t="shared" si="0"/>
        <v>3600</v>
      </c>
      <c r="G20" s="79">
        <v>1</v>
      </c>
      <c r="H20" s="627">
        <f t="shared" si="1"/>
        <v>3600</v>
      </c>
      <c r="I20" s="627">
        <f t="shared" si="2"/>
        <v>0</v>
      </c>
      <c r="J20" s="67"/>
      <c r="K20" s="11"/>
      <c r="L20" s="3"/>
      <c r="M20" s="3"/>
    </row>
    <row r="21" spans="1:13" ht="15.75">
      <c r="A21" s="712" t="s">
        <v>46</v>
      </c>
      <c r="B21" s="709"/>
      <c r="C21" s="709"/>
      <c r="D21" s="711"/>
      <c r="E21" s="623">
        <v>1</v>
      </c>
      <c r="F21" s="625">
        <f t="shared" si="0"/>
        <v>100</v>
      </c>
      <c r="G21" s="79">
        <v>1</v>
      </c>
      <c r="H21" s="627">
        <f t="shared" si="1"/>
        <v>100</v>
      </c>
      <c r="I21" s="627">
        <f t="shared" si="2"/>
        <v>0</v>
      </c>
      <c r="J21" s="67"/>
      <c r="K21" s="11"/>
      <c r="L21" s="3"/>
      <c r="M21" s="3"/>
    </row>
    <row r="22" spans="1:13" ht="15.75">
      <c r="A22" s="710" t="s">
        <v>47</v>
      </c>
      <c r="B22" s="709"/>
      <c r="C22" s="709"/>
      <c r="D22" s="711"/>
      <c r="E22" s="623">
        <v>110</v>
      </c>
      <c r="F22" s="625">
        <f t="shared" si="0"/>
        <v>11000</v>
      </c>
      <c r="G22" s="79">
        <v>1</v>
      </c>
      <c r="H22" s="627">
        <f t="shared" si="1"/>
        <v>11000</v>
      </c>
      <c r="I22" s="627">
        <f t="shared" si="2"/>
        <v>0</v>
      </c>
      <c r="J22" s="67"/>
      <c r="K22" s="11"/>
      <c r="L22" s="3"/>
      <c r="M22" s="3"/>
    </row>
    <row r="23" spans="1:13" ht="15.75">
      <c r="A23" s="710" t="s">
        <v>48</v>
      </c>
      <c r="B23" s="709"/>
      <c r="C23" s="709"/>
      <c r="D23" s="711"/>
      <c r="E23" s="623">
        <v>38</v>
      </c>
      <c r="F23" s="625">
        <f t="shared" si="0"/>
        <v>3800</v>
      </c>
      <c r="G23" s="79">
        <v>1</v>
      </c>
      <c r="H23" s="627">
        <f t="shared" si="1"/>
        <v>3800</v>
      </c>
      <c r="I23" s="627">
        <f t="shared" si="2"/>
        <v>0</v>
      </c>
      <c r="J23" s="67"/>
      <c r="K23" s="11"/>
      <c r="L23" s="3"/>
      <c r="M23" s="3"/>
    </row>
    <row r="24" spans="1:13" ht="15.75">
      <c r="A24" s="716" t="s">
        <v>263</v>
      </c>
      <c r="B24" s="717"/>
      <c r="C24" s="717"/>
      <c r="D24" s="728"/>
      <c r="E24" s="624">
        <v>64</v>
      </c>
      <c r="F24" s="626">
        <f t="shared" si="0"/>
        <v>6400</v>
      </c>
      <c r="G24" s="82">
        <v>1</v>
      </c>
      <c r="H24" s="628">
        <f t="shared" si="1"/>
        <v>6400</v>
      </c>
      <c r="I24" s="628">
        <f t="shared" si="2"/>
        <v>0</v>
      </c>
      <c r="J24" s="67"/>
      <c r="K24" s="11"/>
      <c r="L24" s="3"/>
      <c r="M24" s="3"/>
    </row>
    <row r="25" spans="1:13" ht="15.75">
      <c r="A25" s="72"/>
      <c r="B25" s="20" t="s">
        <v>49</v>
      </c>
      <c r="C25" s="20"/>
      <c r="D25" s="20"/>
      <c r="E25" s="136">
        <f>SUM(E14:E24)</f>
        <v>576</v>
      </c>
      <c r="F25" s="136">
        <f>SUM(F14:F24)</f>
        <v>57600</v>
      </c>
      <c r="G25" s="83"/>
      <c r="H25" s="627">
        <f>SUM(H14:H24)</f>
        <v>57600</v>
      </c>
      <c r="I25" s="627">
        <f>SUM(I14:I24)</f>
        <v>0</v>
      </c>
      <c r="J25" s="67"/>
      <c r="K25" s="11"/>
      <c r="L25" s="3"/>
      <c r="M25" s="3"/>
    </row>
    <row r="26" spans="1:13" ht="15.75">
      <c r="A26" s="72"/>
      <c r="B26" s="20"/>
      <c r="C26" s="20"/>
      <c r="D26" s="20"/>
      <c r="E26" s="640"/>
      <c r="F26" s="113"/>
      <c r="G26" s="86"/>
      <c r="H26" s="629"/>
      <c r="I26" s="629"/>
      <c r="J26" s="67"/>
      <c r="K26" s="11"/>
      <c r="L26" s="3"/>
      <c r="M26" s="3"/>
    </row>
    <row r="27" spans="1:13" ht="15.75">
      <c r="A27" s="710" t="s">
        <v>50</v>
      </c>
      <c r="B27" s="726"/>
      <c r="C27" s="726"/>
      <c r="D27" s="727"/>
      <c r="E27" s="136">
        <f>E29*(E28/12)*E25</f>
        <v>27.36</v>
      </c>
      <c r="F27" s="625">
        <f>E27*$G$5</f>
        <v>2736</v>
      </c>
      <c r="G27" s="87">
        <v>1</v>
      </c>
      <c r="H27" s="627">
        <f>F27*G27</f>
        <v>2736</v>
      </c>
      <c r="I27" s="627">
        <f>F27*(1-G27)</f>
        <v>0</v>
      </c>
      <c r="J27" s="88"/>
      <c r="K27" s="11"/>
      <c r="L27" s="3"/>
      <c r="M27" s="3"/>
    </row>
    <row r="28" spans="1:13" ht="15.75">
      <c r="A28" s="722" t="s">
        <v>51</v>
      </c>
      <c r="B28" s="709"/>
      <c r="C28" s="709"/>
      <c r="D28" s="711"/>
      <c r="E28" s="89">
        <v>6</v>
      </c>
      <c r="F28" s="90"/>
      <c r="G28" s="91"/>
      <c r="H28" s="91"/>
      <c r="I28" s="91"/>
      <c r="J28" s="67"/>
      <c r="K28" s="11"/>
      <c r="L28" s="3"/>
      <c r="M28" s="3"/>
    </row>
    <row r="29" spans="1:13" ht="15.75">
      <c r="A29" s="723" t="s">
        <v>52</v>
      </c>
      <c r="B29" s="724"/>
      <c r="C29" s="724"/>
      <c r="D29" s="725"/>
      <c r="E29" s="92">
        <v>0.095</v>
      </c>
      <c r="F29" s="93"/>
      <c r="G29" s="94"/>
      <c r="H29" s="94"/>
      <c r="I29" s="95"/>
      <c r="J29" s="67"/>
      <c r="K29" s="11"/>
      <c r="L29" s="3"/>
      <c r="M29" s="3"/>
    </row>
    <row r="30" spans="1:13" ht="15.75">
      <c r="A30" s="96"/>
      <c r="B30" s="97"/>
      <c r="C30" s="97"/>
      <c r="D30" s="97"/>
      <c r="E30" s="83"/>
      <c r="F30" s="90"/>
      <c r="G30" s="91"/>
      <c r="H30" s="91"/>
      <c r="I30" s="91"/>
      <c r="J30" s="67"/>
      <c r="K30" s="11"/>
      <c r="L30" s="3"/>
      <c r="M30" s="3"/>
    </row>
    <row r="31" spans="1:13" ht="15.75">
      <c r="A31" s="98" t="s">
        <v>53</v>
      </c>
      <c r="B31" s="40"/>
      <c r="C31" s="40"/>
      <c r="D31" s="40"/>
      <c r="E31" s="76"/>
      <c r="F31" s="76"/>
      <c r="G31" s="99"/>
      <c r="H31" s="99"/>
      <c r="I31" s="100"/>
      <c r="J31" s="67"/>
      <c r="K31" s="11"/>
      <c r="L31" s="3"/>
      <c r="M31" s="3"/>
    </row>
    <row r="32" spans="1:13" ht="15.75">
      <c r="A32" s="72" t="s">
        <v>63</v>
      </c>
      <c r="B32" s="20"/>
      <c r="C32" s="20"/>
      <c r="D32" s="20"/>
      <c r="E32" s="623">
        <v>0</v>
      </c>
      <c r="F32" s="625">
        <f>E32*$G$5</f>
        <v>0</v>
      </c>
      <c r="G32" s="102">
        <v>1</v>
      </c>
      <c r="H32" s="627">
        <f>F32*G32</f>
        <v>0</v>
      </c>
      <c r="I32" s="627">
        <f>F32*(1-G32)</f>
        <v>0</v>
      </c>
      <c r="J32" s="67"/>
      <c r="K32" s="11"/>
      <c r="L32" s="3"/>
      <c r="M32" s="3"/>
    </row>
    <row r="33" spans="1:13" ht="15.75">
      <c r="A33" s="72"/>
      <c r="B33" s="20" t="s">
        <v>55</v>
      </c>
      <c r="C33" s="20"/>
      <c r="D33" s="20"/>
      <c r="E33" s="623"/>
      <c r="F33" s="625"/>
      <c r="G33" s="102"/>
      <c r="H33" s="627"/>
      <c r="I33" s="627"/>
      <c r="J33" s="67"/>
      <c r="K33" s="11"/>
      <c r="L33" s="3"/>
      <c r="M33" s="3"/>
    </row>
    <row r="34" spans="1:13" ht="15.75">
      <c r="A34" s="716" t="s">
        <v>56</v>
      </c>
      <c r="B34" s="717"/>
      <c r="C34" s="717"/>
      <c r="D34" s="103"/>
      <c r="E34" s="643">
        <v>0</v>
      </c>
      <c r="F34" s="626">
        <f>E34*$G$5</f>
        <v>0</v>
      </c>
      <c r="G34" s="104">
        <v>1</v>
      </c>
      <c r="H34" s="632">
        <f>F34*G34</f>
        <v>0</v>
      </c>
      <c r="I34" s="628">
        <f>F34*(1-G34)</f>
        <v>0</v>
      </c>
      <c r="J34" s="67"/>
      <c r="K34" s="11"/>
      <c r="L34" s="3"/>
      <c r="M34" s="3"/>
    </row>
    <row r="35" spans="1:13" ht="15.75">
      <c r="A35" s="72"/>
      <c r="B35" s="53"/>
      <c r="C35" s="53"/>
      <c r="D35" s="20"/>
      <c r="E35" s="101"/>
      <c r="F35" s="78"/>
      <c r="G35" s="102"/>
      <c r="H35" s="80"/>
      <c r="I35" s="80"/>
      <c r="J35" s="67"/>
      <c r="K35" s="11"/>
      <c r="L35" s="3"/>
      <c r="M35" s="3"/>
    </row>
    <row r="36" spans="1:13" ht="15.75">
      <c r="A36" s="710" t="s">
        <v>57</v>
      </c>
      <c r="B36" s="709"/>
      <c r="C36" s="709"/>
      <c r="D36" s="20"/>
      <c r="E36" s="479">
        <f>E37*E29*(E38/12)</f>
        <v>0</v>
      </c>
      <c r="F36" s="625">
        <f>E36*$G$5</f>
        <v>0</v>
      </c>
      <c r="G36" s="102">
        <v>1</v>
      </c>
      <c r="H36" s="627">
        <f>F36*G36</f>
        <v>0</v>
      </c>
      <c r="I36" s="627">
        <f>F36*(1-G36)</f>
        <v>0</v>
      </c>
      <c r="J36" s="67"/>
      <c r="K36" s="11"/>
      <c r="L36" s="3"/>
      <c r="M36" s="3"/>
    </row>
    <row r="37" spans="1:13" ht="15.75">
      <c r="A37" s="712" t="s">
        <v>58</v>
      </c>
      <c r="B37" s="709"/>
      <c r="C37" s="709"/>
      <c r="D37" s="20"/>
      <c r="E37" s="633">
        <v>0</v>
      </c>
      <c r="F37" s="634"/>
      <c r="G37" s="91"/>
      <c r="H37" s="91"/>
      <c r="I37" s="91"/>
      <c r="J37" s="67"/>
      <c r="K37" s="11"/>
      <c r="L37" s="3"/>
      <c r="M37" s="3"/>
    </row>
    <row r="38" spans="1:13" ht="15.75">
      <c r="A38" s="718" t="s">
        <v>59</v>
      </c>
      <c r="B38" s="717"/>
      <c r="C38" s="717"/>
      <c r="D38" s="103"/>
      <c r="E38" s="105">
        <v>0</v>
      </c>
      <c r="F38" s="106"/>
      <c r="G38" s="107"/>
      <c r="H38" s="60"/>
      <c r="I38" s="108"/>
      <c r="J38" s="67"/>
      <c r="K38" s="11"/>
      <c r="L38" s="3"/>
      <c r="M38" s="3"/>
    </row>
    <row r="39" spans="1:13" ht="15.75">
      <c r="A39" s="96"/>
      <c r="B39" s="97"/>
      <c r="C39" s="97"/>
      <c r="D39" s="97"/>
      <c r="E39" s="150"/>
      <c r="F39" s="119"/>
      <c r="G39" s="91"/>
      <c r="H39" s="111"/>
      <c r="I39" s="111"/>
      <c r="J39" s="67"/>
      <c r="K39" s="11"/>
      <c r="L39" s="3"/>
      <c r="M39" s="3"/>
    </row>
    <row r="40" spans="1:13" ht="15.75">
      <c r="A40" s="96"/>
      <c r="B40" s="721" t="s">
        <v>60</v>
      </c>
      <c r="C40" s="721"/>
      <c r="D40" s="711"/>
      <c r="E40" s="112">
        <f>E25+E27+E32+E34+E36</f>
        <v>603.36</v>
      </c>
      <c r="F40" s="112">
        <f>F25+F27+F32+F34+F36</f>
        <v>60336</v>
      </c>
      <c r="G40" s="91"/>
      <c r="H40" s="112">
        <f>H25+H27+H32+H34+H36</f>
        <v>60336</v>
      </c>
      <c r="I40" s="112">
        <f>I25+I27+I32+I34+I36</f>
        <v>0</v>
      </c>
      <c r="J40" s="67"/>
      <c r="K40" s="11"/>
      <c r="L40" s="3"/>
      <c r="M40" s="3"/>
    </row>
    <row r="41" spans="1:13" ht="15.75">
      <c r="A41" s="114"/>
      <c r="B41" s="81"/>
      <c r="C41" s="81"/>
      <c r="D41" s="81"/>
      <c r="E41" s="115"/>
      <c r="F41" s="116"/>
      <c r="G41" s="117"/>
      <c r="H41" s="117"/>
      <c r="I41" s="118"/>
      <c r="J41" s="67"/>
      <c r="K41" s="11"/>
      <c r="L41" s="3"/>
      <c r="M41" s="3"/>
    </row>
    <row r="42" spans="1:13" ht="15.75">
      <c r="A42" s="96"/>
      <c r="B42" s="97"/>
      <c r="C42" s="97"/>
      <c r="D42" s="97"/>
      <c r="E42" s="83"/>
      <c r="F42" s="119"/>
      <c r="G42" s="111"/>
      <c r="H42" s="111"/>
      <c r="I42" s="111"/>
      <c r="J42" s="67"/>
      <c r="K42" s="11"/>
      <c r="L42" s="3"/>
      <c r="M42" s="3"/>
    </row>
    <row r="43" spans="1:13" ht="15.75">
      <c r="A43" s="710" t="s">
        <v>280</v>
      </c>
      <c r="B43" s="709"/>
      <c r="C43" s="709"/>
      <c r="D43" s="711"/>
      <c r="E43" s="623">
        <v>40</v>
      </c>
      <c r="F43" s="625">
        <f>E43*$G$5</f>
        <v>4000</v>
      </c>
      <c r="G43" s="79">
        <v>1</v>
      </c>
      <c r="H43" s="627">
        <f>F43*G43</f>
        <v>4000</v>
      </c>
      <c r="I43" s="627">
        <f>F43*(1-G43)</f>
        <v>0</v>
      </c>
      <c r="J43" s="67"/>
      <c r="K43" s="11"/>
      <c r="L43" s="3"/>
      <c r="M43" s="3"/>
    </row>
    <row r="44" spans="1:13" ht="15.75">
      <c r="A44" s="710" t="s">
        <v>281</v>
      </c>
      <c r="B44" s="709"/>
      <c r="C44" s="709"/>
      <c r="D44" s="711"/>
      <c r="E44" s="623">
        <v>54</v>
      </c>
      <c r="F44" s="625">
        <f>E44*$G$5</f>
        <v>5400</v>
      </c>
      <c r="G44" s="151">
        <v>1</v>
      </c>
      <c r="H44" s="627">
        <f>F44*G44</f>
        <v>5400</v>
      </c>
      <c r="I44" s="627">
        <f>F44*(1-G44)</f>
        <v>0</v>
      </c>
      <c r="J44" s="67"/>
      <c r="K44" s="11"/>
      <c r="L44" s="3"/>
      <c r="M44" s="3"/>
    </row>
    <row r="45" spans="1:13" ht="15.75">
      <c r="A45" s="72"/>
      <c r="B45" s="120"/>
      <c r="C45" s="120"/>
      <c r="D45" s="130"/>
      <c r="E45" s="131"/>
      <c r="F45" s="152"/>
      <c r="G45" s="153"/>
      <c r="H45" s="154"/>
      <c r="I45" s="132"/>
      <c r="J45" s="55"/>
      <c r="K45" s="11"/>
      <c r="L45" s="3"/>
      <c r="M45" s="3"/>
    </row>
    <row r="46" spans="1:13" ht="21.75" customHeight="1">
      <c r="A46" s="719" t="s">
        <v>61</v>
      </c>
      <c r="B46" s="720"/>
      <c r="C46" s="720"/>
      <c r="D46" s="720"/>
      <c r="E46" s="123">
        <f>E40+E43+E44</f>
        <v>697.36</v>
      </c>
      <c r="F46" s="123">
        <f>F40+F43+F44</f>
        <v>69736</v>
      </c>
      <c r="G46" s="124"/>
      <c r="H46" s="123">
        <f>H40+H43+H44</f>
        <v>69736</v>
      </c>
      <c r="I46" s="123">
        <f>I40+I43+I44</f>
        <v>0</v>
      </c>
      <c r="J46" s="55"/>
      <c r="K46" s="11"/>
      <c r="L46" s="3"/>
      <c r="M46" s="3"/>
    </row>
    <row r="47" spans="1:13" ht="15.75">
      <c r="A47" s="126"/>
      <c r="B47" s="126"/>
      <c r="C47" s="126"/>
      <c r="D47" s="126"/>
      <c r="E47" s="126"/>
      <c r="F47" s="126"/>
      <c r="G47" s="127"/>
      <c r="H47" s="127"/>
      <c r="I47" s="127"/>
      <c r="J47" s="7"/>
      <c r="K47" s="11"/>
      <c r="L47" s="3"/>
      <c r="M47" s="3"/>
    </row>
    <row r="48" spans="1:13" ht="15.75">
      <c r="A48" s="715"/>
      <c r="B48" s="715"/>
      <c r="C48" s="715"/>
      <c r="D48" s="715"/>
      <c r="E48" s="12"/>
      <c r="F48" s="12"/>
      <c r="G48" s="12"/>
      <c r="H48" s="12"/>
      <c r="I48" s="12"/>
      <c r="J48" s="7"/>
      <c r="K48" s="11"/>
      <c r="L48" s="3"/>
      <c r="M48" s="3"/>
    </row>
    <row r="49" spans="1:13" ht="15">
      <c r="A49" s="3"/>
      <c r="B49" s="3"/>
      <c r="C49" s="3"/>
      <c r="D49" s="3"/>
      <c r="E49" s="3"/>
      <c r="F49" s="3"/>
      <c r="G49" s="3"/>
      <c r="H49" s="3"/>
      <c r="I49" s="3"/>
      <c r="J49" s="3"/>
      <c r="K49" s="3"/>
      <c r="L49" s="3"/>
      <c r="M49" s="3"/>
    </row>
    <row r="50" spans="1:13" ht="15">
      <c r="A50" s="3"/>
      <c r="B50" s="3"/>
      <c r="C50" s="3"/>
      <c r="D50" s="3"/>
      <c r="E50" s="3"/>
      <c r="F50" s="3"/>
      <c r="G50" s="3"/>
      <c r="H50" s="3"/>
      <c r="I50" s="3"/>
      <c r="J50" s="3"/>
      <c r="K50" s="3"/>
      <c r="L50" s="3"/>
      <c r="M50" s="3"/>
    </row>
    <row r="51" spans="1:13" ht="15">
      <c r="A51" s="3"/>
      <c r="B51" s="3"/>
      <c r="C51" s="3"/>
      <c r="D51" s="3"/>
      <c r="E51" s="3"/>
      <c r="F51" s="3"/>
      <c r="G51" s="3"/>
      <c r="H51" s="3"/>
      <c r="I51" s="3"/>
      <c r="J51" s="3"/>
      <c r="K51" s="3"/>
      <c r="L51" s="3"/>
      <c r="M51" s="3"/>
    </row>
    <row r="52" spans="1:13" ht="15">
      <c r="A52" s="3"/>
      <c r="B52" s="3"/>
      <c r="C52" s="3"/>
      <c r="D52" s="3"/>
      <c r="E52" s="3"/>
      <c r="F52" s="3"/>
      <c r="G52" s="3"/>
      <c r="H52" s="3"/>
      <c r="I52" s="3"/>
      <c r="J52" s="3"/>
      <c r="K52" s="3"/>
      <c r="L52" s="3"/>
      <c r="M52" s="3"/>
    </row>
  </sheetData>
  <sheetProtection sheet="1" objects="1" scenarios="1"/>
  <mergeCells count="30">
    <mergeCell ref="A28:D28"/>
    <mergeCell ref="A29:D29"/>
    <mergeCell ref="G3:G4"/>
    <mergeCell ref="E3:E4"/>
    <mergeCell ref="A14:D14"/>
    <mergeCell ref="C3:C4"/>
    <mergeCell ref="B3:B4"/>
    <mergeCell ref="D3:D4"/>
    <mergeCell ref="A7:H7"/>
    <mergeCell ref="F3:F4"/>
    <mergeCell ref="A19:D19"/>
    <mergeCell ref="A20:D20"/>
    <mergeCell ref="A21:D21"/>
    <mergeCell ref="A48:D48"/>
    <mergeCell ref="A36:C36"/>
    <mergeCell ref="A34:C34"/>
    <mergeCell ref="A38:C38"/>
    <mergeCell ref="A46:D46"/>
    <mergeCell ref="A37:C37"/>
    <mergeCell ref="B40:D40"/>
    <mergeCell ref="A43:D43"/>
    <mergeCell ref="A44:D44"/>
    <mergeCell ref="A27:D27"/>
    <mergeCell ref="A15:D15"/>
    <mergeCell ref="A16:D16"/>
    <mergeCell ref="A24:D24"/>
    <mergeCell ref="A23:D23"/>
    <mergeCell ref="A22:D22"/>
    <mergeCell ref="A17:D17"/>
    <mergeCell ref="A18:D18"/>
  </mergeCells>
  <printOptions/>
  <pageMargins left="0.75" right="0.75" top="1" bottom="1" header="0.5" footer="0.5"/>
  <pageSetup fitToHeight="1" fitToWidth="1" horizontalDpi="600" verticalDpi="600" orientation="portrait" scale="55" r:id="rId3"/>
  <headerFooter alignWithMargins="0">
    <oddFooter>&amp;L&amp;F&amp;CUniversity of Idaho&amp;R&amp;A</oddFooter>
  </headerFooter>
  <legacyDrawing r:id="rId2"/>
</worksheet>
</file>

<file path=xl/worksheets/sheet9.xml><?xml version="1.0" encoding="utf-8"?>
<worksheet xmlns="http://schemas.openxmlformats.org/spreadsheetml/2006/main" xmlns:r="http://schemas.openxmlformats.org/officeDocument/2006/relationships">
  <dimension ref="A1:K5"/>
  <sheetViews>
    <sheetView zoomScalePageLayoutView="0" workbookViewId="0" topLeftCell="A1">
      <selection activeCell="A1" sqref="A1:K1"/>
    </sheetView>
  </sheetViews>
  <sheetFormatPr defaultColWidth="9.00390625" defaultRowHeight="14.25"/>
  <cols>
    <col min="1" max="11" width="9.00390625" style="1" customWidth="1"/>
    <col min="12" max="16384" width="9.00390625" style="1" customWidth="1"/>
  </cols>
  <sheetData>
    <row r="1" spans="1:11" ht="15">
      <c r="A1" s="749" t="s">
        <v>109</v>
      </c>
      <c r="B1" s="749"/>
      <c r="C1" s="749"/>
      <c r="D1" s="749"/>
      <c r="E1" s="749"/>
      <c r="F1" s="749"/>
      <c r="G1" s="749"/>
      <c r="H1" s="749"/>
      <c r="I1" s="749"/>
      <c r="J1" s="749"/>
      <c r="K1" s="749"/>
    </row>
    <row r="2" spans="1:11" ht="140.25" customHeight="1">
      <c r="A2" s="745" t="s">
        <v>68</v>
      </c>
      <c r="B2" s="746"/>
      <c r="C2" s="746"/>
      <c r="D2" s="746"/>
      <c r="E2" s="746"/>
      <c r="F2" s="746"/>
      <c r="G2" s="746"/>
      <c r="H2" s="746"/>
      <c r="I2" s="746"/>
      <c r="J2" s="746"/>
      <c r="K2" s="746"/>
    </row>
    <row r="3" spans="1:11" ht="15">
      <c r="A3" s="709"/>
      <c r="B3" s="709"/>
      <c r="C3" s="709"/>
      <c r="D3" s="709"/>
      <c r="E3" s="709"/>
      <c r="F3" s="709"/>
      <c r="G3" s="709"/>
      <c r="H3" s="709"/>
      <c r="I3" s="709"/>
      <c r="J3" s="709"/>
      <c r="K3" s="709"/>
    </row>
    <row r="4" spans="1:11" ht="15">
      <c r="A4" s="709"/>
      <c r="B4" s="709"/>
      <c r="C4" s="709"/>
      <c r="D4" s="709"/>
      <c r="E4" s="709"/>
      <c r="F4" s="709"/>
      <c r="G4" s="709"/>
      <c r="H4" s="709"/>
      <c r="I4" s="709"/>
      <c r="J4" s="709"/>
      <c r="K4" s="709"/>
    </row>
    <row r="5" spans="1:11" ht="70.5" customHeight="1">
      <c r="A5" s="747" t="s">
        <v>69</v>
      </c>
      <c r="B5" s="748"/>
      <c r="C5" s="748"/>
      <c r="D5" s="748"/>
      <c r="E5" s="748"/>
      <c r="F5" s="748"/>
      <c r="G5" s="748"/>
      <c r="H5" s="748"/>
      <c r="I5" s="748"/>
      <c r="J5" s="748"/>
      <c r="K5" s="748"/>
    </row>
  </sheetData>
  <sheetProtection sheet="1" objects="1" scenarios="1"/>
  <mergeCells count="5">
    <mergeCell ref="A2:K2"/>
    <mergeCell ref="A5:K5"/>
    <mergeCell ref="A1:K1"/>
    <mergeCell ref="A3:K3"/>
    <mergeCell ref="A4:K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Idaho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E. Patterson</dc:creator>
  <cp:keywords/>
  <dc:description/>
  <cp:lastModifiedBy>Debra Rumford</cp:lastModifiedBy>
  <cp:lastPrinted>2008-05-05T20:51:59Z</cp:lastPrinted>
  <dcterms:created xsi:type="dcterms:W3CDTF">2007-11-05T18:07:53Z</dcterms:created>
  <dcterms:modified xsi:type="dcterms:W3CDTF">2015-11-25T23:14:20Z</dcterms:modified>
  <cp:category/>
  <cp:version/>
  <cp:contentType/>
  <cp:contentStatus/>
</cp:coreProperties>
</file>