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0" windowWidth="16470" windowHeight="5310" tabRatio="848" activeTab="0"/>
  </bookViews>
  <sheets>
    <sheet name="Title" sheetId="1" r:id="rId1"/>
    <sheet name="Summary" sheetId="2" r:id="rId2"/>
    <sheet name="Assumptions, T1 Labor" sheetId="3" r:id="rId3"/>
    <sheet name="T2 &amp; T3 Daily Feed Costs" sheetId="4" r:id="rId4"/>
    <sheet name="T4 Costs &amp; Returns" sheetId="5" r:id="rId5"/>
    <sheet name="T5 Capital Recovery" sheetId="6" r:id="rId6"/>
    <sheet name="Amortization Factors" sheetId="7" state="hidden" r:id="rId7"/>
    <sheet name="T6 &amp; T7 Monthly Cast Flow" sheetId="8" r:id="rId8"/>
    <sheet name="T8 Investment Summary" sheetId="9" r:id="rId9"/>
  </sheets>
  <definedNames>
    <definedName name="barley">#REF!</definedName>
    <definedName name="beetpulp">#REF!</definedName>
    <definedName name="bypassfat">#REF!</definedName>
    <definedName name="canola">#REF!</definedName>
    <definedName name="closeuphay">#REF!</definedName>
    <definedName name="corn">#REF!</definedName>
    <definedName name="cottonseed">#REF!</definedName>
    <definedName name="dairyhay">#REF!</definedName>
    <definedName name="distillers">#REF!</definedName>
    <definedName name="dr">'T5 Capital Recovery'!#REF!</definedName>
    <definedName name="DryCows">'T4 Costs &amp; Returns'!#REF!</definedName>
    <definedName name="DryPercent">'T4 Costs &amp; Returns'!#REF!</definedName>
    <definedName name="feederhay">#REF!</definedName>
    <definedName name="FreeStall_Prod.">'Summary'!#REF!</definedName>
    <definedName name="HAYLAGE">#REF!</definedName>
    <definedName name="HEIFERS">#REF!</definedName>
    <definedName name="LactCows">'T4 Costs &amp; Returns'!#REF!</definedName>
    <definedName name="LCOWS">#REF!</definedName>
    <definedName name="machinery">'T5 Capital Recovery'!$L$3</definedName>
    <definedName name="min_closeup">#REF!</definedName>
    <definedName name="min_dry">#REF!</definedName>
    <definedName name="min_fresh">#REF!</definedName>
    <definedName name="min_lactating">#REF!</definedName>
    <definedName name="molasses">#REF!</definedName>
    <definedName name="MProd">'Summary'!$B$3</definedName>
    <definedName name="OpenLot_No.">#REF!</definedName>
    <definedName name="OpenLot_Prod">'Summary'!#REF!</definedName>
    <definedName name="Pmilk">'Summary'!$B$4</definedName>
    <definedName name="_xlnm.Print_Area" localSheetId="2">'Assumptions, T1 Labor'!$A$1:$K$49</definedName>
    <definedName name="_xlnm.Print_Area" localSheetId="1">'Summary'!$A$1:$B$18</definedName>
    <definedName name="_xlnm.Print_Area" localSheetId="3">'T2 &amp; T3 Daily Feed Costs'!$A$1:$D$27</definedName>
    <definedName name="_xlnm.Print_Area" localSheetId="4">'T4 Costs &amp; Returns'!$A$3:$R$110</definedName>
    <definedName name="_xlnm.Print_Area" localSheetId="5">'T5 Capital Recovery'!$A$1:$J$65</definedName>
    <definedName name="_xlnm.Print_Area" localSheetId="7">'T6 &amp; T7 Monthly Cast Flow'!$A$1:$N$68</definedName>
    <definedName name="_xlnm.Print_Area" localSheetId="8">'T8 Investment Summary'!$A$1:$P$71</definedName>
    <definedName name="_xlnm.Print_Area" localSheetId="0">'Title'!$A$1:$L$45</definedName>
    <definedName name="PRODMED">#REF!</definedName>
    <definedName name="RYEGRASS">#REF!</definedName>
    <definedName name="silage">#REF!</definedName>
    <definedName name="straw">#REF!</definedName>
    <definedName name="TotalCows">'T4 Costs &amp; Returns'!$C$2</definedName>
    <definedName name="TOTALPROD_CWT">'T4 Costs &amp; Returns'!$S$8</definedName>
    <definedName name="tractors">'T5 Capital Recovery'!$L$5</definedName>
    <definedName name="trucks">'T5 Capital Recovery'!$L$6</definedName>
    <definedName name="WETDDG">#REF!</definedName>
    <definedName name="wheatDDG">#REF!</definedName>
    <definedName name="wrtpulp">#REF!</definedName>
  </definedNames>
  <calcPr fullCalcOnLoad="1"/>
</workbook>
</file>

<file path=xl/comments2.xml><?xml version="1.0" encoding="utf-8"?>
<comments xmlns="http://schemas.openxmlformats.org/spreadsheetml/2006/main">
  <authors>
    <author>Kate Painter</author>
    <author>Painter, Kathleen</author>
  </authors>
  <commentList>
    <comment ref="B3" authorId="0">
      <text>
        <r>
          <rPr>
            <sz val="9"/>
            <rFont val="Tahoma"/>
            <family val="2"/>
          </rPr>
          <t>This is 10% higher than the 2013 average milk production per cow in Idaho to account for 3x per day milking.</t>
        </r>
      </text>
    </comment>
    <comment ref="B4" authorId="1">
      <text>
        <r>
          <rPr>
            <b/>
            <sz val="9"/>
            <rFont val="Tahoma"/>
            <family val="2"/>
          </rPr>
          <t>Painter, Kathleen:</t>
        </r>
        <r>
          <rPr>
            <sz val="9"/>
            <rFont val="Tahoma"/>
            <family val="2"/>
          </rPr>
          <t xml:space="preserve">
2014 Class III average milk price</t>
        </r>
      </text>
    </comment>
  </commentList>
</comments>
</file>

<file path=xl/comments5.xml><?xml version="1.0" encoding="utf-8"?>
<comments xmlns="http://schemas.openxmlformats.org/spreadsheetml/2006/main">
  <authors>
    <author>Kate Painter</author>
    <author>Painter, Kathleen</author>
  </authors>
  <commentList>
    <comment ref="K2" authorId="0">
      <text>
        <r>
          <rPr>
            <b/>
            <sz val="9"/>
            <rFont val="Tahoma"/>
            <family val="2"/>
          </rPr>
          <t>Kate Painter:</t>
        </r>
        <r>
          <rPr>
            <sz val="9"/>
            <rFont val="Tahoma"/>
            <family val="2"/>
          </rPr>
          <t xml:space="preserve">
2014 average production of 24,127 lb/head/yr.</t>
        </r>
      </text>
    </comment>
    <comment ref="I9" authorId="1">
      <text>
        <r>
          <rPr>
            <b/>
            <sz val="9"/>
            <rFont val="Tahoma"/>
            <family val="2"/>
          </rPr>
          <t>Painter, Kathleen:</t>
        </r>
        <r>
          <rPr>
            <sz val="9"/>
            <rFont val="Tahoma"/>
            <family val="2"/>
          </rPr>
          <t xml:space="preserve">
Log in to LMIC (www.lmic.info) then click members only; spreadsheets; dairy; product-milk prices and the spreadsheet dairy product prices monthly. File is DairyPricesMonthly.xls</t>
        </r>
      </text>
    </comment>
    <comment ref="I10" authorId="1">
      <text>
        <r>
          <rPr>
            <b/>
            <sz val="9"/>
            <rFont val="Tahoma"/>
            <family val="2"/>
          </rPr>
          <t>Painter, Kathleen:</t>
        </r>
        <r>
          <rPr>
            <sz val="9"/>
            <rFont val="Tahoma"/>
            <family val="2"/>
          </rPr>
          <t xml:space="preserve">
See LMIC, Members, Spreadsheets, http://www.lmic.info/members-only/Spreadsheets/Dairy/ReplacementPrices
The sheet is ReplacementsID-Jerome-weekly.xls.
</t>
        </r>
      </text>
    </comment>
    <comment ref="I11" authorId="1">
      <text>
        <r>
          <rPr>
            <b/>
            <sz val="9"/>
            <rFont val="Tahoma"/>
            <family val="2"/>
          </rPr>
          <t>Painter, Kathleen:</t>
        </r>
        <r>
          <rPr>
            <sz val="9"/>
            <rFont val="Tahoma"/>
            <family val="2"/>
          </rPr>
          <t xml:space="preserve">
Painter, Kathleen:
See LMIC, Members, Spreadsheets, http://www.lmic.info/members-only/Spreadsheets/Dairy/ReplacementPrices
The sheet is ReplacementsID-Jerome-weekly.xls.</t>
        </r>
      </text>
    </comment>
    <comment ref="I12" authorId="1">
      <text>
        <r>
          <rPr>
            <b/>
            <sz val="9"/>
            <rFont val="Tahoma"/>
            <family val="2"/>
          </rPr>
          <t>Painter, Kathleen:</t>
        </r>
        <r>
          <rPr>
            <sz val="9"/>
            <rFont val="Tahoma"/>
            <family val="2"/>
          </rPr>
          <t xml:space="preserve">
Assume 1100 lb per head and use utility cow price.</t>
        </r>
      </text>
    </comment>
  </commentList>
</comments>
</file>

<file path=xl/comments6.xml><?xml version="1.0" encoding="utf-8"?>
<comments xmlns="http://schemas.openxmlformats.org/spreadsheetml/2006/main">
  <authors>
    <author>Kate Painter</author>
  </authors>
  <commentList>
    <comment ref="A13" authorId="0">
      <text>
        <r>
          <rPr>
            <b/>
            <sz val="9"/>
            <rFont val="Tahoma"/>
            <family val="2"/>
          </rPr>
          <t>Kate Painter:</t>
        </r>
        <r>
          <rPr>
            <sz val="9"/>
            <rFont val="Tahoma"/>
            <family val="2"/>
          </rPr>
          <t xml:space="preserve">
includes nutrient management</t>
        </r>
      </text>
    </comment>
    <comment ref="A17" authorId="0">
      <text>
        <r>
          <rPr>
            <b/>
            <sz val="9"/>
            <rFont val="Tahoma"/>
            <family val="2"/>
          </rPr>
          <t>Kate Painter:</t>
        </r>
        <r>
          <rPr>
            <sz val="9"/>
            <rFont val="Tahoma"/>
            <family val="2"/>
          </rPr>
          <t xml:space="preserve">
10' concrete walls, covered</t>
        </r>
      </text>
    </comment>
    <comment ref="A18" authorId="0">
      <text>
        <r>
          <rPr>
            <b/>
            <sz val="9"/>
            <rFont val="Tahoma"/>
            <family val="2"/>
          </rPr>
          <t>Kate Painter:</t>
        </r>
        <r>
          <rPr>
            <sz val="9"/>
            <rFont val="Tahoma"/>
            <family val="2"/>
          </rPr>
          <t xml:space="preserve">
no sides, concrete pad
</t>
        </r>
      </text>
    </comment>
    <comment ref="A28" authorId="0">
      <text>
        <r>
          <rPr>
            <b/>
            <sz val="9"/>
            <rFont val="Tahoma"/>
            <family val="2"/>
          </rPr>
          <t>Kate Painter:</t>
        </r>
        <r>
          <rPr>
            <sz val="9"/>
            <rFont val="Tahoma"/>
            <family val="2"/>
          </rPr>
          <t xml:space="preserve">
should we include this?</t>
        </r>
      </text>
    </comment>
  </commentList>
</comments>
</file>

<file path=xl/comments9.xml><?xml version="1.0" encoding="utf-8"?>
<comments xmlns="http://schemas.openxmlformats.org/spreadsheetml/2006/main">
  <authors>
    <author>Kate Painter</author>
  </authors>
  <commentList>
    <comment ref="A13" authorId="0">
      <text>
        <r>
          <rPr>
            <b/>
            <sz val="9"/>
            <rFont val="Tahoma"/>
            <family val="2"/>
          </rPr>
          <t>Kate Painter:</t>
        </r>
        <r>
          <rPr>
            <sz val="9"/>
            <rFont val="Tahoma"/>
            <family val="2"/>
          </rPr>
          <t xml:space="preserve">
includes nutrient management</t>
        </r>
      </text>
    </comment>
    <comment ref="A17" authorId="0">
      <text>
        <r>
          <rPr>
            <b/>
            <sz val="9"/>
            <rFont val="Tahoma"/>
            <family val="2"/>
          </rPr>
          <t>Kate Painter:</t>
        </r>
        <r>
          <rPr>
            <sz val="9"/>
            <rFont val="Tahoma"/>
            <family val="2"/>
          </rPr>
          <t xml:space="preserve">
10' concrete walls, covered</t>
        </r>
      </text>
    </comment>
    <comment ref="A18" authorId="0">
      <text>
        <r>
          <rPr>
            <b/>
            <sz val="9"/>
            <rFont val="Tahoma"/>
            <family val="2"/>
          </rPr>
          <t>Kate Painter:</t>
        </r>
        <r>
          <rPr>
            <sz val="9"/>
            <rFont val="Tahoma"/>
            <family val="2"/>
          </rPr>
          <t xml:space="preserve">
no sides, concrete pad
</t>
        </r>
      </text>
    </comment>
    <comment ref="A28" authorId="0">
      <text>
        <r>
          <rPr>
            <b/>
            <sz val="9"/>
            <rFont val="Tahoma"/>
            <family val="2"/>
          </rPr>
          <t>Kate Painter:</t>
        </r>
        <r>
          <rPr>
            <sz val="9"/>
            <rFont val="Tahoma"/>
            <family val="2"/>
          </rPr>
          <t xml:space="preserve">
should we include this?</t>
        </r>
      </text>
    </comment>
  </commentList>
</comments>
</file>

<file path=xl/sharedStrings.xml><?xml version="1.0" encoding="utf-8"?>
<sst xmlns="http://schemas.openxmlformats.org/spreadsheetml/2006/main" count="568" uniqueCount="286">
  <si>
    <t>Quantity</t>
  </si>
  <si>
    <t>Price or</t>
  </si>
  <si>
    <t>Value or</t>
  </si>
  <si>
    <t>Item</t>
  </si>
  <si>
    <t>Unit</t>
  </si>
  <si>
    <t>Cost</t>
  </si>
  <si>
    <t>ac</t>
  </si>
  <si>
    <t>Initial Capital Outlays:</t>
  </si>
  <si>
    <t>Cattle:</t>
  </si>
  <si>
    <t>Initial cow purchase</t>
  </si>
  <si>
    <t>Land:</t>
  </si>
  <si>
    <t>Land purchase</t>
  </si>
  <si>
    <t>hd</t>
  </si>
  <si>
    <t>Site Prep: Permits, well, roads</t>
  </si>
  <si>
    <t>Feeding Facilities:</t>
  </si>
  <si>
    <t>Scales</t>
  </si>
  <si>
    <t>farm</t>
  </si>
  <si>
    <t>Milking Barn</t>
  </si>
  <si>
    <t>sq ft</t>
  </si>
  <si>
    <t>stall</t>
  </si>
  <si>
    <t>Hospital Barn</t>
  </si>
  <si>
    <t>Building</t>
  </si>
  <si>
    <t>Double 12 parallel stalls</t>
  </si>
  <si>
    <t>Generator</t>
  </si>
  <si>
    <t>4-wheelers</t>
  </si>
  <si>
    <t>10-wheel truck (manure removal)</t>
  </si>
  <si>
    <t>Tractor-125 HP</t>
  </si>
  <si>
    <t>Straw Spreader</t>
  </si>
  <si>
    <t>Loaders, new</t>
  </si>
  <si>
    <t>Loaders, used</t>
  </si>
  <si>
    <t>Miscellaneous</t>
  </si>
  <si>
    <t>Total Capital Costs</t>
  </si>
  <si>
    <t>Semis, with feedbox mixers, new</t>
  </si>
  <si>
    <t>Semis, with feedbox mixers, used</t>
  </si>
  <si>
    <t>2 double 36 parallel stalls</t>
  </si>
  <si>
    <t>Commodity shed, 14 bays</t>
  </si>
  <si>
    <t>Hay sheds (180' x 50')</t>
  </si>
  <si>
    <t>Milk</t>
  </si>
  <si>
    <t>Per Head</t>
  </si>
  <si>
    <t>cwt</t>
  </si>
  <si>
    <t>Cost/Dairy</t>
  </si>
  <si>
    <t>No. of</t>
  </si>
  <si>
    <t>Cows</t>
  </si>
  <si>
    <t>Bull Calves</t>
  </si>
  <si>
    <t>Heifer Calves</t>
  </si>
  <si>
    <t>Cull Cows</t>
  </si>
  <si>
    <t>head</t>
  </si>
  <si>
    <t>Cost/Cwt</t>
  </si>
  <si>
    <t>Total Operating Costs</t>
  </si>
  <si>
    <t>Net Returns Above Variable Costs</t>
  </si>
  <si>
    <t>Fixed Costs:</t>
  </si>
  <si>
    <t>Straw</t>
  </si>
  <si>
    <t>Barley</t>
  </si>
  <si>
    <t>Distillers</t>
  </si>
  <si>
    <t>Cottonseed</t>
  </si>
  <si>
    <t>Molasses</t>
  </si>
  <si>
    <t>Feed  (ton/head/yr):</t>
  </si>
  <si>
    <t>Cost/Head/Yr</t>
  </si>
  <si>
    <t>Cost/Head/Day</t>
  </si>
  <si>
    <t>Milk hauling</t>
  </si>
  <si>
    <t>State &amp; association charges</t>
  </si>
  <si>
    <t>Veterinary, breeding, testing</t>
  </si>
  <si>
    <t>Labor, including fringe costs</t>
  </si>
  <si>
    <t>Supplies</t>
  </si>
  <si>
    <t>Repairs and maintenance</t>
  </si>
  <si>
    <t>Utilities</t>
  </si>
  <si>
    <t>Interest</t>
  </si>
  <si>
    <t>Miscellaneous (fuel, insur., etc.)</t>
  </si>
  <si>
    <t>Net Returns Above Total Costs</t>
  </si>
  <si>
    <t>Total Costs (Operating and Fixed)</t>
  </si>
  <si>
    <t>($/head)</t>
  </si>
  <si>
    <t>Annual Milk Production (cwt/head)</t>
  </si>
  <si>
    <t>Base</t>
  </si>
  <si>
    <t>Operating Cost Breakeven</t>
  </si>
  <si>
    <t>Ownership Cost Breakeven</t>
  </si>
  <si>
    <t>Total Cost Breakeven</t>
  </si>
  <si>
    <t>Less:</t>
  </si>
  <si>
    <t>Plus:</t>
  </si>
  <si>
    <t>Total Fixed Costs</t>
  </si>
  <si>
    <t>(cwt/hd/yr):</t>
  </si>
  <si>
    <t xml:space="preserve">Yield </t>
  </si>
  <si>
    <t xml:space="preserve"> (n)</t>
  </si>
  <si>
    <t>Interest Rate</t>
  </si>
  <si>
    <t>(i)</t>
  </si>
  <si>
    <t>Capital</t>
  </si>
  <si>
    <t>Recovery</t>
  </si>
  <si>
    <t>Factor</t>
  </si>
  <si>
    <t>Value</t>
  </si>
  <si>
    <t>Total:</t>
  </si>
  <si>
    <t>Rate</t>
  </si>
  <si>
    <t xml:space="preserve">Discount </t>
  </si>
  <si>
    <t xml:space="preserve">Years </t>
  </si>
  <si>
    <t>of Life</t>
  </si>
  <si>
    <t>Total Capital Recovery Costs</t>
  </si>
  <si>
    <t>Salvage</t>
  </si>
  <si>
    <t>($/herd)</t>
  </si>
  <si>
    <t>Table 1.  Amortization Factors for Equal Total Payments</t>
  </si>
  <si>
    <t>Years</t>
  </si>
  <si>
    <t>Tractor-75 HP</t>
  </si>
  <si>
    <t>Tractor-60 HP</t>
  </si>
  <si>
    <t>Vacuum tank</t>
  </si>
  <si>
    <t>Backhoe</t>
  </si>
  <si>
    <t>Dump truck</t>
  </si>
  <si>
    <t>Machinery, 5000-cow facility:</t>
  </si>
  <si>
    <t>Skid steer loader</t>
  </si>
  <si>
    <t>kpainter@uidaho.edu</t>
  </si>
  <si>
    <t>Budget spreadsheets are available at the following link:</t>
  </si>
  <si>
    <t>Kathleen Painter</t>
  </si>
  <si>
    <t>Moscow, ID</t>
  </si>
  <si>
    <t>Per Dairy</t>
  </si>
  <si>
    <t>Jan</t>
  </si>
  <si>
    <t>Feb</t>
  </si>
  <si>
    <t>Mar</t>
  </si>
  <si>
    <t>Apr</t>
  </si>
  <si>
    <t>May</t>
  </si>
  <si>
    <t>Jun</t>
  </si>
  <si>
    <t>Jul</t>
  </si>
  <si>
    <t>Aug</t>
  </si>
  <si>
    <t>Sep</t>
  </si>
  <si>
    <t>Oct</t>
  </si>
  <si>
    <t>Nov</t>
  </si>
  <si>
    <t>Dec</t>
  </si>
  <si>
    <t>Production:</t>
  </si>
  <si>
    <t>Total</t>
  </si>
  <si>
    <t>Total Receipts</t>
  </si>
  <si>
    <t>Operating Inputs:</t>
  </si>
  <si>
    <t>Machinery (Fuel,Lube,Repair)</t>
  </si>
  <si>
    <t>Vehicles (Fuel and Repair)</t>
  </si>
  <si>
    <t>Equipment (Repair)</t>
  </si>
  <si>
    <t>Housing, Improvements (Repair)</t>
  </si>
  <si>
    <t>Taxes and Insurance</t>
  </si>
  <si>
    <t>Feed (tons):</t>
  </si>
  <si>
    <t>Column1</t>
  </si>
  <si>
    <t>Column2</t>
  </si>
  <si>
    <t>Column3</t>
  </si>
  <si>
    <t>Column4</t>
  </si>
  <si>
    <t>Column5</t>
  </si>
  <si>
    <t>Column6</t>
  </si>
  <si>
    <t>Column7</t>
  </si>
  <si>
    <t>Column8</t>
  </si>
  <si>
    <t>Column9</t>
  </si>
  <si>
    <t>Column10</t>
  </si>
  <si>
    <t>Column11</t>
  </si>
  <si>
    <t>Column12</t>
  </si>
  <si>
    <t>Column13</t>
  </si>
  <si>
    <t>Column14</t>
  </si>
  <si>
    <t>for the base price in the enterprise budget above, as well as for milk prices that are 10% above and below the base yield.</t>
  </si>
  <si>
    <t>Costs, prices, and yields in this breakeven table are all linked to values  in the budget above, so any changes in the budgets</t>
  </si>
  <si>
    <t xml:space="preserve">will be automatically updated in these breakeven analyses. </t>
  </si>
  <si>
    <t>Breakeven Milk Prices ($/cwt):</t>
  </si>
  <si>
    <t>The second breakeven analysis below presents breakeven yields that will  cover operating costs, ownership costs, and total costs</t>
  </si>
  <si>
    <t xml:space="preserve">In the spreadsheet version (Excel) of this budget, the percentages in the orange cells can be changed and all  values will be updated. </t>
  </si>
  <si>
    <t>Breakeven Price and Yield</t>
  </si>
  <si>
    <t>costs for the base yield in the enterprise budget above, as well as for milk yields that are 10% above and below the base yield.</t>
  </si>
  <si>
    <t>The first breakeven analysis below presents breakeven milk prices ($/cwt) that will cover operating costs, ownership costs, and total</t>
  </si>
  <si>
    <t>Capital recovery costs*</t>
  </si>
  <si>
    <t>Boxscraper</t>
  </si>
  <si>
    <t>Brush hog, 10'</t>
  </si>
  <si>
    <t>Telehandler loader</t>
  </si>
  <si>
    <t>Gooseneck trailer, 28'</t>
  </si>
  <si>
    <t>Buildings</t>
  </si>
  <si>
    <t>Farm pickups, new</t>
  </si>
  <si>
    <t>Farm pickups, used</t>
  </si>
  <si>
    <t>Open Lots</t>
  </si>
  <si>
    <t>Annual Milk Revenue  ($/head/year)</t>
  </si>
  <si>
    <t>Total Revenue  ($/head/year)</t>
  </si>
  <si>
    <t>Annual Feed Costs  ($/head/year)</t>
  </si>
  <si>
    <t>Total Variable Costs  ($/head/year)</t>
  </si>
  <si>
    <t>Fixed Costs  ($/head/year)</t>
  </si>
  <si>
    <t>Total Costs  ($/head/year)</t>
  </si>
  <si>
    <t>Returns over Variable Costs  ($/head/year)</t>
  </si>
  <si>
    <t>Returns over Total Costs ($/head/year)</t>
  </si>
  <si>
    <t>Sheds,  400 sq ft per cow</t>
  </si>
  <si>
    <t>Shades: 40 sq ft per cow</t>
  </si>
  <si>
    <t>Bull Calves (head)</t>
  </si>
  <si>
    <t>Heifer Calves (head)</t>
  </si>
  <si>
    <t>Cull Cows (head)</t>
  </si>
  <si>
    <t>Milk (cwt/head)</t>
  </si>
  <si>
    <t>Insurance:</t>
  </si>
  <si>
    <t>Insur., facilities @ $5 per $1,000</t>
  </si>
  <si>
    <t xml:space="preserve">Insur., machinery, @ $4 per $1,000 </t>
  </si>
  <si>
    <t>Liability Insur. ($1 million coverage)</t>
  </si>
  <si>
    <t>Insurance*</t>
  </si>
  <si>
    <t>herd</t>
  </si>
  <si>
    <t>Average Capital Costs (Purchase - Salvage Value)/2</t>
  </si>
  <si>
    <t xml:space="preserve">Average Capital Costs </t>
  </si>
  <si>
    <t>Total Investment Costs/Salvage Value</t>
  </si>
  <si>
    <t>Average Capital Costs per Head</t>
  </si>
  <si>
    <t>Capital Recovery Costs per Head</t>
  </si>
  <si>
    <t>(total)</t>
  </si>
  <si>
    <t>The Authors - Kathleen Painter is a farm and ranch economics specialist in the University of Idaho</t>
  </si>
  <si>
    <t>Department of Agricultural Economics and Rural Sociology, Moscow. C. Wilson Gray is an Extension agricultural</t>
  </si>
  <si>
    <t>economist in the UI District III Extension Office.</t>
  </si>
  <si>
    <t>Issued in furtherance of cooperative extension work in agriculture and home economics, Acts of May 8 and June 30, 1914,</t>
  </si>
  <si>
    <t>University of Idaho, Moscow, Idaho 83843. The University of Idaho provides equal opportunity in education and employment on the basis of</t>
  </si>
  <si>
    <t>race, color, religion, national origin, gender, age disability, or status as a Vietnam-era veteran, as required by state and federal laws.</t>
  </si>
  <si>
    <t>Land purchase*</t>
  </si>
  <si>
    <t>Site Prep: Permits, well, roads**</t>
  </si>
  <si>
    <t>*Opportunity cost on land investment is calculated as land value multiplied by the interest rate. Land is not depreciable.</t>
  </si>
  <si>
    <t>**Site preparation charges include nutrient management expenses.</t>
  </si>
  <si>
    <t>Capital Costs/Salvage Value per Head</t>
  </si>
  <si>
    <t>In the spreadsheet version, you can change values in red and they will be updated throughout the budget.</t>
  </si>
  <si>
    <t>http://web.cals.uidaho.edu/idahoagbiz/enterprise-budgets/</t>
  </si>
  <si>
    <t>Legal &amp; accounting</t>
  </si>
  <si>
    <t>Mineral, lactating cows  (ton)</t>
  </si>
  <si>
    <t>Mineral, dry cows  (ton)</t>
  </si>
  <si>
    <t>$</t>
  </si>
  <si>
    <t>TOTAL NUMBER OF COWS:</t>
  </si>
  <si>
    <t>Income, Lactating Cows:</t>
  </si>
  <si>
    <t>Wet Dry Distillers Grain (DDG)</t>
  </si>
  <si>
    <t xml:space="preserve">Alfalfa hay, dairy </t>
  </si>
  <si>
    <t xml:space="preserve">Feeder hay </t>
  </si>
  <si>
    <t xml:space="preserve">Corn silage (30%DM)  </t>
  </si>
  <si>
    <t>Haylage (38%DM)</t>
  </si>
  <si>
    <t>Wheat DDG</t>
  </si>
  <si>
    <t xml:space="preserve">Corn </t>
  </si>
  <si>
    <t xml:space="preserve">Beet pulp </t>
  </si>
  <si>
    <t xml:space="preserve">Canola </t>
  </si>
  <si>
    <t>Bypass fat  (EB 100)</t>
  </si>
  <si>
    <t>Rye grass pellets</t>
  </si>
  <si>
    <t>Wet sugarbeet pulp</t>
  </si>
  <si>
    <t>Wheat DDG (Canada)</t>
  </si>
  <si>
    <t>02-15 (revised)</t>
  </si>
  <si>
    <t>These tables are also available for you to modify in a spreadsheet version. You may download them from our website,</t>
  </si>
  <si>
    <t>http://web.cals.uidaho.edu/idahoagbiz/enterprise-budgets/current-cost-of-production-studies/current-dairy-budgets/</t>
  </si>
  <si>
    <t>in cooperation with the U.S. Department of Agriculture, Barbara Petty, Interim Director of University of Idaho Extension,</t>
  </si>
  <si>
    <t>(509) 432-5755</t>
  </si>
  <si>
    <t xml:space="preserve"> </t>
  </si>
  <si>
    <t>Overhead (2.5% Operating Costs)</t>
  </si>
  <si>
    <t>*See Table 3.</t>
  </si>
  <si>
    <t>Feed item:</t>
  </si>
  <si>
    <t>lb/day</t>
  </si>
  <si>
    <t>$/cwt</t>
  </si>
  <si>
    <t>$/day</t>
  </si>
  <si>
    <t>Feeder hay</t>
  </si>
  <si>
    <t>Average Capital Costs per Cow (5,000 head)</t>
  </si>
  <si>
    <t>Capital Recovery Costs per Cow (5,000 head)</t>
  </si>
  <si>
    <t>Table 8: Investment Summary for 5,000-Head Open Lot Dairy in Southern Idaho</t>
  </si>
  <si>
    <t>Summary of Annual Costs and Returns for Operating a 5,000-Head Open Lot Dairy in Southern Idaho, 2014 ($/head/year)</t>
  </si>
  <si>
    <t xml:space="preserve">  ($/Head/Year)</t>
  </si>
  <si>
    <t>loekr</t>
  </si>
  <si>
    <t xml:space="preserve">EBB-D5-14 Costs and Returns for a 5000-Head </t>
  </si>
  <si>
    <t>Open Lot Holstein Dairy in Southern Idaho</t>
  </si>
  <si>
    <t>Non-Feed Costs, Herd:</t>
  </si>
  <si>
    <t>Ryegrass pellets</t>
  </si>
  <si>
    <t>Herd replacement costs</t>
  </si>
  <si>
    <t>Table 5. Capital Costs for a 5,000-Head Open Lot Dairy in Southern Idaho</t>
  </si>
  <si>
    <t>Capital Costs per head</t>
  </si>
  <si>
    <t>Table 6: Monthly Summary of Returns and Expenses for a 5,000-Head Open Lot Dairy in Southern Idaho</t>
  </si>
  <si>
    <t>Table 7: Monthly Feed Requirements (tons) for a 5,000-Head Open Lot Dairy in Southern Idaho</t>
  </si>
  <si>
    <t>Milk Price ($/cwt), Average for 2014</t>
  </si>
  <si>
    <t>Instruction: Enter Total Number of Cows, Annual Production, and Percent Dry Cows. The other numbers will be calculated for you. Change values in red and blue type to see global changes.</t>
  </si>
  <si>
    <t>ANNUAL PRODUCTION</t>
  </si>
  <si>
    <t>Insurance</t>
  </si>
  <si>
    <t>Table 1. Daily (hr/herd) and Annual (hr/head) Labor</t>
  </si>
  <si>
    <t>Milking</t>
  </si>
  <si>
    <t>Feeding</t>
  </si>
  <si>
    <t>Facility mgmt.</t>
  </si>
  <si>
    <t>Herd mgmt.</t>
  </si>
  <si>
    <t>Manure mgmt.</t>
  </si>
  <si>
    <t>Daily  (hr/herd)</t>
  </si>
  <si>
    <t>Hired</t>
  </si>
  <si>
    <t>Owner</t>
  </si>
  <si>
    <t>Annual labor (hr/cow)</t>
  </si>
  <si>
    <t>Table 4: Annual Enterprise Budget for a 5,000-Head Open Lot Dairy in Southern Idaho</t>
  </si>
  <si>
    <t>Price*</t>
  </si>
  <si>
    <t>Photo: www.idahopress.com</t>
  </si>
  <si>
    <t>Photo: Adam Eschbach/IPT www.idahopress.com</t>
  </si>
  <si>
    <t>Bedding</t>
  </si>
  <si>
    <t>Feed Costs, All Cows:</t>
  </si>
  <si>
    <t>Mineral  (ton)</t>
  </si>
  <si>
    <t>Mineral, fresh (ton)</t>
  </si>
  <si>
    <t>Mineral, dry cow  (ton)</t>
  </si>
  <si>
    <t>Mineral, dry cow AD  (ton)</t>
  </si>
  <si>
    <t>Table 2. Daily Feed Ration, Quantities and Costs for All Cows*</t>
  </si>
  <si>
    <t>*includes 73% high energy lactating cows, 6% fresh cows, 8% close-up cows, 3% close-up heifers, and 10% dry cows.</t>
  </si>
  <si>
    <t>Total cost, all  cows</t>
  </si>
  <si>
    <t xml:space="preserve">Corn silage (30%DM, 15% shrink)  </t>
  </si>
  <si>
    <t>Haylage (38%DM, 10% shrink)</t>
  </si>
  <si>
    <t>and</t>
  </si>
  <si>
    <r>
      <t>Richard Norell</t>
    </r>
    <r>
      <rPr>
        <vertAlign val="superscript"/>
        <sz val="10"/>
        <rFont val="Arial"/>
        <family val="2"/>
      </rPr>
      <t>1</t>
    </r>
  </si>
  <si>
    <r>
      <rPr>
        <vertAlign val="superscript"/>
        <sz val="11"/>
        <color indexed="8"/>
        <rFont val="Calibri"/>
        <family val="2"/>
      </rPr>
      <t>1</t>
    </r>
    <r>
      <rPr>
        <sz val="11"/>
        <color theme="1"/>
        <rFont val="Calibri"/>
        <family val="2"/>
      </rPr>
      <t xml:space="preserve">Authors are an Extension agricultural economist and an Extension dairy specialist, respectively, </t>
    </r>
  </si>
  <si>
    <t>with the University of Idaho.</t>
  </si>
  <si>
    <t>rnorell@uidaho.edu</t>
  </si>
  <si>
    <t>(208) 529-8376</t>
  </si>
  <si>
    <t>Idaho Falls, ID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</si>
</sst>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_(* #,##0_);_(* \(#,##0\);_(* &quot;-&quot;??_);_(@_)"/>
    <numFmt numFmtId="168" formatCode="0.0%"/>
    <numFmt numFmtId="169" formatCode="0.00000"/>
    <numFmt numFmtId="170" formatCode="0.0000"/>
    <numFmt numFmtId="171" formatCode="_(* #,##0.000_);_(* \(#,##0.000\);_(* &quot;-&quot;??_);_(@_)"/>
    <numFmt numFmtId="172" formatCode="0.000"/>
    <numFmt numFmtId="173" formatCode="[$-409]dddd\,\ mmmm\ d\,\ yyyy"/>
    <numFmt numFmtId="174" formatCode="[$-409]h:mm:ss\ AM/PM"/>
    <numFmt numFmtId="175" formatCode="&quot;$&quot;#,##0.000"/>
    <numFmt numFmtId="176" formatCode="&quot;$&quot;#,##0.0"/>
    <numFmt numFmtId="177" formatCode="[$-409]dddd\,\ mmmm\ dd\,\ yyyy"/>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s>
  <fonts count="110">
    <font>
      <sz val="11"/>
      <color theme="1"/>
      <name val="Calibri"/>
      <family val="2"/>
    </font>
    <font>
      <sz val="11"/>
      <color indexed="8"/>
      <name val="Calibri"/>
      <family val="2"/>
    </font>
    <font>
      <sz val="12"/>
      <name val="Arial"/>
      <family val="2"/>
    </font>
    <font>
      <sz val="10"/>
      <name val="Arial"/>
      <family val="2"/>
    </font>
    <font>
      <sz val="9"/>
      <name val="Tahoma"/>
      <family val="2"/>
    </font>
    <font>
      <b/>
      <sz val="9"/>
      <name val="Tahoma"/>
      <family val="2"/>
    </font>
    <font>
      <u val="single"/>
      <sz val="10"/>
      <color indexed="12"/>
      <name val="Arial"/>
      <family val="2"/>
    </font>
    <font>
      <b/>
      <sz val="12"/>
      <name val="Times New Roman"/>
      <family val="1"/>
    </font>
    <font>
      <sz val="12"/>
      <name val="Times New Roman"/>
      <family val="1"/>
    </font>
    <font>
      <i/>
      <sz val="12"/>
      <name val="Times New Roman"/>
      <family val="1"/>
    </font>
    <font>
      <i/>
      <sz val="14"/>
      <name val="Arial"/>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6"/>
      <name val="Calibri"/>
      <family val="2"/>
    </font>
    <font>
      <sz val="11"/>
      <color indexed="16"/>
      <name val="Calibri"/>
      <family val="2"/>
    </font>
    <font>
      <sz val="12"/>
      <color indexed="10"/>
      <name val="Arial"/>
      <family val="2"/>
    </font>
    <font>
      <sz val="14"/>
      <color indexed="8"/>
      <name val="Calibri"/>
      <family val="2"/>
    </font>
    <font>
      <b/>
      <sz val="16"/>
      <color indexed="56"/>
      <name val="Cambria"/>
      <family val="2"/>
    </font>
    <font>
      <b/>
      <sz val="10"/>
      <color indexed="56"/>
      <name val="Calibri"/>
      <family val="2"/>
    </font>
    <font>
      <b/>
      <sz val="10"/>
      <name val="Calibri"/>
      <family val="2"/>
    </font>
    <font>
      <b/>
      <i/>
      <sz val="10"/>
      <name val="Calibri"/>
      <family val="2"/>
    </font>
    <font>
      <sz val="10"/>
      <name val="Calibri"/>
      <family val="2"/>
    </font>
    <font>
      <sz val="12"/>
      <name val="Calibri"/>
      <family val="2"/>
    </font>
    <font>
      <b/>
      <u val="single"/>
      <sz val="11"/>
      <name val="Calibri"/>
      <family val="2"/>
    </font>
    <font>
      <b/>
      <sz val="11"/>
      <name val="Calibri"/>
      <family val="2"/>
    </font>
    <font>
      <sz val="11"/>
      <name val="Calibri"/>
      <family val="2"/>
    </font>
    <font>
      <sz val="11"/>
      <color indexed="30"/>
      <name val="Calibri"/>
      <family val="2"/>
    </font>
    <font>
      <b/>
      <sz val="12"/>
      <color indexed="56"/>
      <name val="Calibri"/>
      <family val="2"/>
    </font>
    <font>
      <sz val="12"/>
      <color indexed="16"/>
      <name val="Calibri"/>
      <family val="2"/>
    </font>
    <font>
      <b/>
      <sz val="12"/>
      <color indexed="16"/>
      <name val="Calibri"/>
      <family val="2"/>
    </font>
    <font>
      <sz val="12"/>
      <color indexed="8"/>
      <name val="Calibri"/>
      <family val="2"/>
    </font>
    <font>
      <b/>
      <u val="single"/>
      <sz val="12"/>
      <color indexed="8"/>
      <name val="Calibri"/>
      <family val="2"/>
    </font>
    <font>
      <sz val="12"/>
      <color indexed="62"/>
      <name val="Calibri"/>
      <family val="2"/>
    </font>
    <font>
      <u val="single"/>
      <sz val="12"/>
      <name val="Calibri"/>
      <family val="2"/>
    </font>
    <font>
      <b/>
      <sz val="12"/>
      <color indexed="8"/>
      <name val="Calibri"/>
      <family val="2"/>
    </font>
    <font>
      <b/>
      <sz val="14"/>
      <name val="Calibri"/>
      <family val="2"/>
    </font>
    <font>
      <b/>
      <sz val="16"/>
      <name val="Cambria"/>
      <family val="2"/>
    </font>
    <font>
      <sz val="10"/>
      <color indexed="8"/>
      <name val="Calibri"/>
      <family val="2"/>
    </font>
    <font>
      <b/>
      <i/>
      <sz val="11"/>
      <color indexed="8"/>
      <name val="Calibri"/>
      <family val="2"/>
    </font>
    <font>
      <i/>
      <sz val="11"/>
      <color indexed="10"/>
      <name val="Calibri"/>
      <family val="2"/>
    </font>
    <font>
      <b/>
      <sz val="12"/>
      <color indexed="10"/>
      <name val="Calibri"/>
      <family val="2"/>
    </font>
    <font>
      <sz val="9"/>
      <color indexed="8"/>
      <name val="Calibri"/>
      <family val="2"/>
    </font>
    <font>
      <sz val="9"/>
      <color indexed="8"/>
      <name val="Arial"/>
      <family val="2"/>
    </font>
    <font>
      <sz val="10"/>
      <color indexed="8"/>
      <name val="Arial"/>
      <family val="2"/>
    </font>
    <font>
      <b/>
      <sz val="14"/>
      <color indexed="56"/>
      <name val="Calibri"/>
      <family val="2"/>
    </font>
    <font>
      <sz val="14"/>
      <name val="Calibri"/>
      <family val="2"/>
    </font>
    <font>
      <b/>
      <sz val="13"/>
      <name val="Calibri"/>
      <family val="2"/>
    </font>
    <font>
      <sz val="15"/>
      <name val="Calibri"/>
      <family val="2"/>
    </font>
    <font>
      <i/>
      <sz val="11"/>
      <name val="Calibri"/>
      <family val="2"/>
    </font>
    <font>
      <sz val="16"/>
      <name val="Calibri"/>
      <family val="2"/>
    </font>
    <font>
      <vertAlign val="superscript"/>
      <sz val="10"/>
      <name val="Arial"/>
      <family val="2"/>
    </font>
    <font>
      <b/>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tint="-0.4999699890613556"/>
      <name val="Calibri"/>
      <family val="2"/>
    </font>
    <font>
      <sz val="11"/>
      <color theme="5" tint="-0.4999699890613556"/>
      <name val="Calibri"/>
      <family val="2"/>
    </font>
    <font>
      <sz val="12"/>
      <color rgb="FFFF0000"/>
      <name val="Arial"/>
      <family val="2"/>
    </font>
    <font>
      <sz val="14"/>
      <color theme="1"/>
      <name val="Calibri"/>
      <family val="2"/>
    </font>
    <font>
      <b/>
      <sz val="16"/>
      <color theme="3"/>
      <name val="Cambria"/>
      <family val="2"/>
    </font>
    <font>
      <b/>
      <sz val="10"/>
      <color theme="3"/>
      <name val="Calibri"/>
      <family val="2"/>
    </font>
    <font>
      <sz val="11"/>
      <color theme="4" tint="-0.24997000396251678"/>
      <name val="Calibri"/>
      <family val="2"/>
    </font>
    <font>
      <sz val="11"/>
      <color rgb="FF0070C0"/>
      <name val="Calibri"/>
      <family val="2"/>
    </font>
    <font>
      <b/>
      <sz val="12"/>
      <color theme="3"/>
      <name val="Calibri"/>
      <family val="2"/>
    </font>
    <font>
      <sz val="12"/>
      <color theme="5" tint="-0.4999699890613556"/>
      <name val="Calibri"/>
      <family val="2"/>
    </font>
    <font>
      <b/>
      <sz val="12"/>
      <color theme="5" tint="-0.4999699890613556"/>
      <name val="Calibri"/>
      <family val="2"/>
    </font>
    <font>
      <sz val="12"/>
      <color theme="1"/>
      <name val="Calibri"/>
      <family val="2"/>
    </font>
    <font>
      <b/>
      <u val="single"/>
      <sz val="12"/>
      <color theme="1"/>
      <name val="Calibri"/>
      <family val="2"/>
    </font>
    <font>
      <sz val="12"/>
      <color rgb="FF3F3F76"/>
      <name val="Calibri"/>
      <family val="2"/>
    </font>
    <font>
      <b/>
      <sz val="12"/>
      <color theme="1"/>
      <name val="Calibri"/>
      <family val="2"/>
    </font>
    <font>
      <sz val="10"/>
      <color theme="1"/>
      <name val="Calibri"/>
      <family val="2"/>
    </font>
    <font>
      <b/>
      <i/>
      <sz val="11"/>
      <color theme="1"/>
      <name val="Calibri"/>
      <family val="2"/>
    </font>
    <font>
      <i/>
      <sz val="11"/>
      <color rgb="FFFF0000"/>
      <name val="Calibri"/>
      <family val="2"/>
    </font>
    <font>
      <b/>
      <sz val="12"/>
      <color rgb="FFFF0000"/>
      <name val="Calibri"/>
      <family val="2"/>
    </font>
    <font>
      <sz val="9"/>
      <color theme="1"/>
      <name val="Calibri"/>
      <family val="2"/>
    </font>
    <font>
      <sz val="9"/>
      <color theme="1"/>
      <name val="Arial"/>
      <family val="2"/>
    </font>
    <font>
      <sz val="10"/>
      <color theme="1"/>
      <name val="Arial"/>
      <family val="2"/>
    </font>
    <font>
      <b/>
      <sz val="14"/>
      <color theme="3"/>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color rgb="FF3F3F3F"/>
      </right>
      <top style="thin">
        <color rgb="FF3F3F3F"/>
      </top>
      <bottom style="thin">
        <color rgb="FF3F3F3F"/>
      </bottom>
    </border>
    <border>
      <left style="thin">
        <color rgb="FF3F3F3F"/>
      </left>
      <right style="thin">
        <color rgb="FF3F3F3F"/>
      </right>
      <top/>
      <bottom style="thin">
        <color rgb="FF3F3F3F"/>
      </bottom>
    </border>
    <border>
      <left style="thin">
        <color rgb="FF3F3F3F"/>
      </left>
      <right/>
      <top style="thin">
        <color rgb="FF3F3F3F"/>
      </top>
      <bottom style="thin">
        <color rgb="FF3F3F3F"/>
      </bottom>
    </border>
    <border>
      <left/>
      <right style="thin">
        <color rgb="FF3F3F3F"/>
      </right>
      <top/>
      <bottom style="thin">
        <color rgb="FF3F3F3F"/>
      </bottom>
    </border>
    <border>
      <left style="thin">
        <color rgb="FF3F3F3F"/>
      </left>
      <right/>
      <top/>
      <bottom style="thin">
        <color rgb="FF3F3F3F"/>
      </bottom>
    </border>
    <border>
      <left/>
      <right style="thin">
        <color rgb="FF3F3F3F"/>
      </right>
      <top style="thin">
        <color rgb="FF3F3F3F"/>
      </top>
      <bottom/>
    </border>
    <border>
      <left style="thin">
        <color rgb="FF3F3F3F"/>
      </left>
      <right style="thin">
        <color rgb="FF3F3F3F"/>
      </right>
      <top style="thin">
        <color rgb="FF3F3F3F"/>
      </top>
      <bottom/>
    </border>
    <border>
      <left style="thin">
        <color rgb="FF3F3F3F"/>
      </left>
      <right/>
      <top style="thin">
        <color rgb="FF3F3F3F"/>
      </top>
      <bottom/>
    </border>
    <border>
      <left/>
      <right/>
      <top style="thin"/>
      <bottom/>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3"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34">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right"/>
    </xf>
    <xf numFmtId="0" fontId="2" fillId="33" borderId="0" xfId="0" applyFont="1" applyFill="1" applyAlignment="1">
      <alignment horizontal="center"/>
    </xf>
    <xf numFmtId="0" fontId="2" fillId="33" borderId="0" xfId="0" applyFont="1" applyFill="1" applyAlignment="1">
      <alignment horizontal="center" vertical="center"/>
    </xf>
    <xf numFmtId="0" fontId="2" fillId="34" borderId="0" xfId="0" applyFont="1" applyFill="1" applyAlignment="1">
      <alignment horizontal="center"/>
    </xf>
    <xf numFmtId="0" fontId="0" fillId="35" borderId="0" xfId="0" applyFill="1" applyAlignment="1">
      <alignment/>
    </xf>
    <xf numFmtId="0" fontId="2" fillId="33" borderId="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center" vertical="center"/>
    </xf>
    <xf numFmtId="0" fontId="0" fillId="34" borderId="10" xfId="0" applyFill="1" applyBorder="1" applyAlignment="1">
      <alignment/>
    </xf>
    <xf numFmtId="0" fontId="0" fillId="35" borderId="10" xfId="0" applyFill="1" applyBorder="1" applyAlignment="1">
      <alignment/>
    </xf>
    <xf numFmtId="0" fontId="0" fillId="33" borderId="0" xfId="0" applyFill="1" applyBorder="1" applyAlignment="1">
      <alignment/>
    </xf>
    <xf numFmtId="164" fontId="0" fillId="34" borderId="0" xfId="0" applyNumberFormat="1" applyFill="1" applyBorder="1" applyAlignment="1" applyProtection="1">
      <alignment/>
      <protection/>
    </xf>
    <xf numFmtId="0" fontId="0" fillId="35" borderId="0" xfId="0" applyFill="1" applyBorder="1" applyAlignment="1">
      <alignment/>
    </xf>
    <xf numFmtId="0" fontId="0" fillId="33" borderId="0" xfId="0" applyFill="1" applyBorder="1" applyAlignment="1">
      <alignment horizontal="center" vertical="center"/>
    </xf>
    <xf numFmtId="164" fontId="0" fillId="33" borderId="0" xfId="0" applyNumberFormat="1" applyFill="1" applyBorder="1" applyAlignment="1">
      <alignment/>
    </xf>
    <xf numFmtId="164" fontId="0" fillId="34" borderId="0" xfId="0" applyNumberFormat="1" applyFill="1" applyAlignment="1" applyProtection="1">
      <alignment horizontal="left"/>
      <protection/>
    </xf>
    <xf numFmtId="0" fontId="0" fillId="0" borderId="0" xfId="0" applyFill="1"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xf>
    <xf numFmtId="167" fontId="0" fillId="0" borderId="0" xfId="42" applyNumberFormat="1" applyFont="1" applyAlignment="1">
      <alignment/>
    </xf>
    <xf numFmtId="164" fontId="84" fillId="34" borderId="0" xfId="0" applyNumberFormat="1" applyFont="1" applyFill="1" applyAlignment="1" applyProtection="1">
      <alignment horizontal="left"/>
      <protection/>
    </xf>
    <xf numFmtId="166" fontId="84" fillId="34" borderId="0" xfId="0" applyNumberFormat="1" applyFont="1" applyFill="1" applyAlignment="1" applyProtection="1">
      <alignment horizontal="left"/>
      <protection/>
    </xf>
    <xf numFmtId="0" fontId="78" fillId="0" borderId="0" xfId="52" applyAlignment="1">
      <alignment horizontal="right"/>
    </xf>
    <xf numFmtId="0" fontId="84" fillId="33" borderId="0" xfId="0" applyFont="1" applyFill="1" applyAlignment="1">
      <alignment/>
    </xf>
    <xf numFmtId="0" fontId="84" fillId="35" borderId="0" xfId="0" applyFont="1" applyFill="1" applyAlignment="1">
      <alignment/>
    </xf>
    <xf numFmtId="164" fontId="84" fillId="34" borderId="0" xfId="0" applyNumberFormat="1" applyFont="1" applyFill="1" applyAlignment="1" applyProtection="1">
      <alignment/>
      <protection/>
    </xf>
    <xf numFmtId="164" fontId="84" fillId="34" borderId="0" xfId="0" applyNumberFormat="1" applyFont="1" applyFill="1" applyAlignment="1" applyProtection="1">
      <alignment horizontal="right"/>
      <protection/>
    </xf>
    <xf numFmtId="164" fontId="84" fillId="34" borderId="0" xfId="0" applyNumberFormat="1" applyFont="1" applyFill="1" applyAlignment="1">
      <alignment/>
    </xf>
    <xf numFmtId="0" fontId="86" fillId="35" borderId="10" xfId="0" applyFont="1" applyFill="1" applyBorder="1" applyAlignment="1">
      <alignment/>
    </xf>
    <xf numFmtId="0" fontId="87" fillId="35" borderId="10" xfId="0" applyFont="1" applyFill="1" applyBorder="1" applyAlignment="1">
      <alignment/>
    </xf>
    <xf numFmtId="0" fontId="88" fillId="33" borderId="11" xfId="0" applyFont="1" applyFill="1" applyBorder="1" applyAlignment="1">
      <alignment/>
    </xf>
    <xf numFmtId="0" fontId="0" fillId="36" borderId="0" xfId="0" applyFill="1" applyAlignment="1">
      <alignment/>
    </xf>
    <xf numFmtId="0" fontId="0" fillId="33" borderId="0" xfId="0" applyFill="1" applyBorder="1" applyAlignment="1">
      <alignment horizontal="center"/>
    </xf>
    <xf numFmtId="0" fontId="0" fillId="0" borderId="0" xfId="0" applyAlignment="1">
      <alignment/>
    </xf>
    <xf numFmtId="0" fontId="0" fillId="32" borderId="0" xfId="0" applyFill="1" applyAlignment="1">
      <alignment/>
    </xf>
    <xf numFmtId="43" fontId="0" fillId="32" borderId="0" xfId="42" applyFont="1" applyFill="1" applyAlignment="1">
      <alignment/>
    </xf>
    <xf numFmtId="10" fontId="0" fillId="32" borderId="0" xfId="60" applyNumberFormat="1" applyFont="1" applyFill="1" applyAlignment="1">
      <alignment horizontal="center"/>
    </xf>
    <xf numFmtId="0" fontId="8" fillId="37" borderId="12" xfId="57" applyFont="1" applyFill="1" applyBorder="1" applyAlignment="1">
      <alignment horizontal="center"/>
      <protection/>
    </xf>
    <xf numFmtId="169" fontId="8" fillId="0" borderId="11" xfId="57" applyNumberFormat="1" applyFont="1" applyBorder="1">
      <alignment/>
      <protection/>
    </xf>
    <xf numFmtId="0" fontId="8" fillId="0" borderId="11" xfId="57" applyFont="1" applyBorder="1" applyAlignment="1">
      <alignment horizontal="center"/>
      <protection/>
    </xf>
    <xf numFmtId="168" fontId="8" fillId="37" borderId="11" xfId="57" applyNumberFormat="1" applyFont="1" applyFill="1" applyBorder="1">
      <alignment/>
      <protection/>
    </xf>
    <xf numFmtId="0" fontId="0" fillId="0" borderId="0" xfId="0" applyAlignment="1">
      <alignment/>
    </xf>
    <xf numFmtId="0" fontId="0" fillId="0" borderId="0" xfId="0" applyAlignment="1">
      <alignment/>
    </xf>
    <xf numFmtId="0" fontId="89" fillId="0" borderId="0" xfId="0" applyFont="1" applyAlignment="1">
      <alignment wrapText="1"/>
    </xf>
    <xf numFmtId="0" fontId="3" fillId="38" borderId="0" xfId="57" applyFont="1" applyFill="1">
      <alignment/>
      <protection/>
    </xf>
    <xf numFmtId="0" fontId="3" fillId="38" borderId="0" xfId="57" applyFont="1" applyFill="1" applyAlignment="1">
      <alignment horizontal="center"/>
      <protection/>
    </xf>
    <xf numFmtId="0" fontId="90" fillId="36" borderId="0" xfId="62" applyFont="1" applyFill="1" applyAlignment="1">
      <alignment/>
    </xf>
    <xf numFmtId="2" fontId="88" fillId="33" borderId="11" xfId="0" applyNumberFormat="1" applyFont="1" applyFill="1" applyBorder="1" applyAlignment="1">
      <alignment/>
    </xf>
    <xf numFmtId="0" fontId="10" fillId="33" borderId="10" xfId="0" applyFont="1" applyFill="1" applyBorder="1" applyAlignment="1">
      <alignment wrapText="1"/>
    </xf>
    <xf numFmtId="0" fontId="73" fillId="0" borderId="0" xfId="46" applyAlignment="1">
      <alignment/>
    </xf>
    <xf numFmtId="0" fontId="0" fillId="0" borderId="0" xfId="0" applyAlignment="1">
      <alignment horizontal="center"/>
    </xf>
    <xf numFmtId="166" fontId="0" fillId="0" borderId="0" xfId="0" applyNumberFormat="1" applyAlignment="1">
      <alignment/>
    </xf>
    <xf numFmtId="0" fontId="91" fillId="0" borderId="0" xfId="52" applyFont="1" applyAlignment="1">
      <alignment/>
    </xf>
    <xf numFmtId="0" fontId="91" fillId="0" borderId="0" xfId="52" applyFont="1" applyAlignment="1">
      <alignment horizontal="center"/>
    </xf>
    <xf numFmtId="0" fontId="35" fillId="36" borderId="8" xfId="59" applyFont="1" applyFill="1" applyAlignment="1">
      <alignment/>
    </xf>
    <xf numFmtId="0" fontId="91" fillId="0" borderId="11" xfId="52" applyFont="1" applyBorder="1" applyAlignment="1">
      <alignment horizontal="left"/>
    </xf>
    <xf numFmtId="0" fontId="35" fillId="36" borderId="13" xfId="59" applyFont="1" applyFill="1" applyBorder="1" applyAlignment="1">
      <alignment/>
    </xf>
    <xf numFmtId="0" fontId="35" fillId="36" borderId="14" xfId="59" applyFont="1" applyFill="1" applyBorder="1" applyAlignment="1">
      <alignment/>
    </xf>
    <xf numFmtId="0" fontId="35" fillId="36" borderId="15" xfId="59" applyFont="1" applyFill="1" applyBorder="1" applyAlignment="1">
      <alignment/>
    </xf>
    <xf numFmtId="0" fontId="36" fillId="36" borderId="16" xfId="59" applyFont="1" applyFill="1" applyBorder="1" applyAlignment="1">
      <alignment horizontal="left"/>
    </xf>
    <xf numFmtId="0" fontId="35" fillId="36" borderId="17" xfId="59" applyFont="1" applyFill="1" applyBorder="1" applyAlignment="1">
      <alignment/>
    </xf>
    <xf numFmtId="0" fontId="35" fillId="0" borderId="13" xfId="59" applyFont="1" applyFill="1" applyBorder="1" applyAlignment="1">
      <alignment/>
    </xf>
    <xf numFmtId="0" fontId="36" fillId="0" borderId="13" xfId="59" applyFont="1" applyFill="1" applyBorder="1" applyAlignment="1">
      <alignment horizontal="left"/>
    </xf>
    <xf numFmtId="0" fontId="35" fillId="0" borderId="8" xfId="59" applyFont="1" applyFill="1" applyAlignment="1">
      <alignment/>
    </xf>
    <xf numFmtId="0" fontId="35" fillId="0" borderId="15" xfId="59" applyFont="1" applyFill="1" applyBorder="1" applyAlignment="1">
      <alignment/>
    </xf>
    <xf numFmtId="166" fontId="37" fillId="0" borderId="8" xfId="59" applyNumberFormat="1" applyFont="1" applyFill="1" applyAlignment="1">
      <alignment/>
    </xf>
    <xf numFmtId="166" fontId="35" fillId="0" borderId="15" xfId="59" applyNumberFormat="1" applyFont="1" applyFill="1" applyBorder="1" applyAlignment="1">
      <alignment/>
    </xf>
    <xf numFmtId="0" fontId="35" fillId="0" borderId="13" xfId="59" applyFont="1" applyFill="1" applyBorder="1" applyAlignment="1">
      <alignment horizontal="center"/>
    </xf>
    <xf numFmtId="0" fontId="37" fillId="0" borderId="8" xfId="59" applyFont="1" applyFill="1" applyAlignment="1">
      <alignment/>
    </xf>
    <xf numFmtId="0" fontId="37" fillId="0" borderId="15" xfId="59" applyFont="1" applyFill="1" applyBorder="1" applyAlignment="1">
      <alignment/>
    </xf>
    <xf numFmtId="0" fontId="35" fillId="0" borderId="18" xfId="59" applyFont="1" applyFill="1" applyBorder="1" applyAlignment="1">
      <alignment horizontal="center"/>
    </xf>
    <xf numFmtId="166" fontId="35" fillId="0" borderId="19" xfId="59" applyNumberFormat="1" applyFont="1" applyFill="1" applyBorder="1" applyAlignment="1">
      <alignment/>
    </xf>
    <xf numFmtId="166" fontId="35" fillId="0" borderId="20" xfId="59" applyNumberFormat="1" applyFont="1" applyFill="1" applyBorder="1" applyAlignment="1">
      <alignment/>
    </xf>
    <xf numFmtId="0" fontId="91" fillId="0" borderId="11" xfId="52" applyFont="1" applyFill="1" applyBorder="1" applyAlignment="1">
      <alignment horizontal="left"/>
    </xf>
    <xf numFmtId="0" fontId="38" fillId="33" borderId="21" xfId="0" applyFont="1" applyFill="1" applyBorder="1" applyAlignment="1">
      <alignment/>
    </xf>
    <xf numFmtId="0" fontId="38" fillId="33" borderId="21" xfId="0" applyFont="1" applyFill="1" applyBorder="1" applyAlignment="1">
      <alignment horizontal="center"/>
    </xf>
    <xf numFmtId="0" fontId="38" fillId="33" borderId="21" xfId="0" applyFont="1" applyFill="1" applyBorder="1" applyAlignment="1">
      <alignment horizontal="center" vertical="center"/>
    </xf>
    <xf numFmtId="0" fontId="38" fillId="34" borderId="21" xfId="0" applyFont="1" applyFill="1" applyBorder="1" applyAlignment="1">
      <alignment horizontal="center"/>
    </xf>
    <xf numFmtId="0" fontId="38" fillId="33" borderId="0" xfId="0" applyFont="1" applyFill="1" applyBorder="1" applyAlignment="1">
      <alignment horizontal="center"/>
    </xf>
    <xf numFmtId="0" fontId="38" fillId="33" borderId="0" xfId="0" applyFont="1" applyFill="1" applyBorder="1" applyAlignment="1">
      <alignment/>
    </xf>
    <xf numFmtId="0" fontId="38" fillId="33" borderId="0" xfId="0" applyFont="1" applyFill="1" applyBorder="1" applyAlignment="1">
      <alignment horizontal="center" vertical="center"/>
    </xf>
    <xf numFmtId="0" fontId="38" fillId="34" borderId="0" xfId="0" applyFont="1" applyFill="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xf>
    <xf numFmtId="0" fontId="0" fillId="33" borderId="10" xfId="0" applyFont="1" applyFill="1" applyBorder="1" applyAlignment="1">
      <alignment horizontal="center" vertical="center"/>
    </xf>
    <xf numFmtId="0" fontId="0" fillId="34" borderId="10" xfId="0" applyFont="1" applyFill="1" applyBorder="1" applyAlignment="1">
      <alignment/>
    </xf>
    <xf numFmtId="0" fontId="0" fillId="35" borderId="10" xfId="0" applyFont="1" applyFill="1" applyBorder="1" applyAlignment="1">
      <alignment/>
    </xf>
    <xf numFmtId="0" fontId="38" fillId="34"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center" vertical="center"/>
    </xf>
    <xf numFmtId="164" fontId="0" fillId="33" borderId="0" xfId="0" applyNumberFormat="1" applyFont="1" applyFill="1" applyAlignment="1">
      <alignment/>
    </xf>
    <xf numFmtId="164" fontId="0" fillId="34" borderId="0" xfId="0" applyNumberFormat="1" applyFont="1" applyFill="1" applyAlignment="1" applyProtection="1">
      <alignment/>
      <protection/>
    </xf>
    <xf numFmtId="0" fontId="0" fillId="35" borderId="0" xfId="0" applyFont="1" applyFill="1" applyAlignment="1">
      <alignment/>
    </xf>
    <xf numFmtId="0" fontId="0" fillId="32" borderId="0" xfId="0" applyFont="1" applyFill="1" applyAlignment="1">
      <alignment/>
    </xf>
    <xf numFmtId="166" fontId="0" fillId="32" borderId="0" xfId="0" applyNumberFormat="1" applyFont="1" applyFill="1" applyAlignment="1">
      <alignment/>
    </xf>
    <xf numFmtId="0" fontId="0" fillId="0" borderId="0" xfId="0" applyFont="1" applyAlignment="1" applyProtection="1">
      <alignment horizont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protection locked="0"/>
    </xf>
    <xf numFmtId="164" fontId="0" fillId="34" borderId="0" xfId="0" applyNumberFormat="1" applyFont="1" applyFill="1" applyAlignment="1">
      <alignment/>
    </xf>
    <xf numFmtId="0" fontId="0" fillId="0" borderId="0" xfId="0" applyFont="1" applyFill="1" applyAlignment="1" applyProtection="1">
      <alignment/>
      <protection locked="0"/>
    </xf>
    <xf numFmtId="0" fontId="0" fillId="39" borderId="0" xfId="0" applyFont="1" applyFill="1" applyAlignment="1">
      <alignment horizontal="center"/>
    </xf>
    <xf numFmtId="0" fontId="0" fillId="0" borderId="0" xfId="0" applyFont="1" applyAlignment="1">
      <alignment horizontal="left" vertical="center"/>
    </xf>
    <xf numFmtId="170" fontId="0" fillId="32" borderId="0" xfId="0" applyNumberFormat="1" applyFont="1" applyFill="1" applyAlignment="1">
      <alignment horizontal="right"/>
    </xf>
    <xf numFmtId="170" fontId="0" fillId="32" borderId="0" xfId="0" applyNumberFormat="1" applyFont="1" applyFill="1" applyAlignment="1">
      <alignment/>
    </xf>
    <xf numFmtId="0" fontId="0" fillId="39" borderId="0" xfId="0" applyFont="1" applyFill="1" applyAlignment="1" applyProtection="1">
      <alignment horizontal="center"/>
      <protection locked="0"/>
    </xf>
    <xf numFmtId="164" fontId="0" fillId="39" borderId="0" xfId="0" applyNumberFormat="1" applyFont="1" applyFill="1" applyAlignment="1" applyProtection="1">
      <alignment/>
      <protection locked="0"/>
    </xf>
    <xf numFmtId="0" fontId="0" fillId="32" borderId="0" xfId="0" applyFont="1" applyFill="1" applyBorder="1" applyAlignment="1">
      <alignment/>
    </xf>
    <xf numFmtId="0" fontId="0" fillId="32" borderId="10" xfId="0" applyFont="1" applyFill="1" applyBorder="1" applyAlignment="1">
      <alignment/>
    </xf>
    <xf numFmtId="0" fontId="39" fillId="33" borderId="0" xfId="0" applyFont="1" applyFill="1" applyBorder="1" applyAlignment="1">
      <alignment/>
    </xf>
    <xf numFmtId="0" fontId="40" fillId="33" borderId="0" xfId="0" applyFont="1" applyFill="1" applyAlignment="1">
      <alignment/>
    </xf>
    <xf numFmtId="0" fontId="41" fillId="0" borderId="0" xfId="0" applyFont="1" applyAlignment="1" applyProtection="1">
      <alignment/>
      <protection locked="0"/>
    </xf>
    <xf numFmtId="0" fontId="41" fillId="0" borderId="0" xfId="0" applyFont="1" applyFill="1" applyAlignment="1" applyProtection="1">
      <alignment/>
      <protection locked="0"/>
    </xf>
    <xf numFmtId="0" fontId="41" fillId="0" borderId="0" xfId="0" applyFont="1" applyAlignment="1" applyProtection="1">
      <alignment horizontal="center" vertical="center"/>
      <protection locked="0"/>
    </xf>
    <xf numFmtId="0" fontId="41" fillId="39" borderId="0" xfId="0" applyFont="1" applyFill="1" applyAlignment="1" applyProtection="1">
      <alignment/>
      <protection locked="0"/>
    </xf>
    <xf numFmtId="0" fontId="87" fillId="36" borderId="21" xfId="0" applyFont="1" applyFill="1" applyBorder="1" applyAlignment="1">
      <alignment/>
    </xf>
    <xf numFmtId="0" fontId="87" fillId="36" borderId="21" xfId="0" applyFont="1" applyFill="1" applyBorder="1" applyAlignment="1">
      <alignment horizontal="center" vertical="center"/>
    </xf>
    <xf numFmtId="166" fontId="86" fillId="36" borderId="21" xfId="0" applyNumberFormat="1" applyFont="1" applyFill="1" applyBorder="1" applyAlignment="1">
      <alignment horizontal="center"/>
    </xf>
    <xf numFmtId="0" fontId="86" fillId="36" borderId="21" xfId="0" applyFont="1" applyFill="1" applyBorder="1" applyAlignment="1">
      <alignment horizontal="center"/>
    </xf>
    <xf numFmtId="164" fontId="86" fillId="36" borderId="21" xfId="0" applyNumberFormat="1" applyFont="1" applyFill="1" applyBorder="1" applyAlignment="1">
      <alignment horizontal="center"/>
    </xf>
    <xf numFmtId="0" fontId="87" fillId="0" borderId="0" xfId="0" applyFont="1" applyAlignment="1">
      <alignment/>
    </xf>
    <xf numFmtId="0" fontId="41" fillId="36" borderId="0" xfId="0" applyFont="1" applyFill="1" applyBorder="1" applyAlignment="1">
      <alignment/>
    </xf>
    <xf numFmtId="0" fontId="0" fillId="36" borderId="0" xfId="0" applyFont="1" applyFill="1" applyAlignment="1">
      <alignment/>
    </xf>
    <xf numFmtId="0" fontId="41" fillId="36" borderId="0" xfId="46" applyFont="1" applyFill="1" applyAlignment="1">
      <alignment/>
    </xf>
    <xf numFmtId="167" fontId="0" fillId="36" borderId="0" xfId="42" applyNumberFormat="1" applyFont="1" applyFill="1" applyAlignment="1">
      <alignment/>
    </xf>
    <xf numFmtId="0" fontId="0" fillId="36" borderId="0" xfId="0" applyFont="1" applyFill="1" applyAlignment="1">
      <alignment horizontal="center" vertical="center"/>
    </xf>
    <xf numFmtId="0" fontId="0" fillId="0" borderId="0" xfId="0" applyFont="1" applyAlignment="1">
      <alignment/>
    </xf>
    <xf numFmtId="0" fontId="0" fillId="36" borderId="0" xfId="0" applyFill="1" applyAlignment="1">
      <alignment horizontal="center" vertical="center"/>
    </xf>
    <xf numFmtId="164" fontId="0" fillId="34" borderId="0" xfId="0" applyNumberFormat="1" applyFont="1" applyFill="1" applyAlignment="1" applyProtection="1">
      <alignment horizontal="right" indent="2"/>
      <protection/>
    </xf>
    <xf numFmtId="2" fontId="0" fillId="0" borderId="0" xfId="0" applyNumberFormat="1" applyFont="1" applyAlignment="1" applyProtection="1">
      <alignment/>
      <protection locked="0"/>
    </xf>
    <xf numFmtId="2" fontId="0" fillId="0" borderId="0" xfId="0" applyNumberFormat="1" applyFont="1" applyAlignment="1" applyProtection="1">
      <alignment horizontal="right" indent="1"/>
      <protection locked="0"/>
    </xf>
    <xf numFmtId="0" fontId="0" fillId="39" borderId="0" xfId="0" applyFont="1" applyFill="1" applyAlignment="1" applyProtection="1">
      <alignment/>
      <protection locked="0"/>
    </xf>
    <xf numFmtId="166" fontId="0" fillId="34" borderId="0" xfId="0" applyNumberFormat="1" applyFont="1" applyFill="1" applyAlignment="1" applyProtection="1">
      <alignment/>
      <protection/>
    </xf>
    <xf numFmtId="164" fontId="92" fillId="0" borderId="0" xfId="0" applyNumberFormat="1" applyFont="1" applyFill="1" applyAlignment="1">
      <alignment horizontal="center"/>
    </xf>
    <xf numFmtId="164" fontId="93" fillId="0" borderId="0" xfId="0" applyNumberFormat="1" applyFont="1" applyAlignment="1" applyProtection="1">
      <alignment horizontal="center"/>
      <protection locked="0"/>
    </xf>
    <xf numFmtId="0" fontId="40" fillId="33" borderId="10" xfId="0" applyFont="1" applyFill="1" applyBorder="1" applyAlignment="1">
      <alignment/>
    </xf>
    <xf numFmtId="0" fontId="94" fillId="36" borderId="0" xfId="52" applyFont="1" applyFill="1" applyBorder="1" applyAlignment="1">
      <alignment/>
    </xf>
    <xf numFmtId="0" fontId="0" fillId="33" borderId="0" xfId="0" applyFont="1" applyFill="1" applyBorder="1" applyAlignment="1">
      <alignment/>
    </xf>
    <xf numFmtId="0" fontId="0" fillId="39" borderId="0" xfId="0" applyFont="1" applyFill="1" applyBorder="1" applyAlignment="1">
      <alignment/>
    </xf>
    <xf numFmtId="0" fontId="39" fillId="33" borderId="0" xfId="0" applyFont="1" applyFill="1" applyAlignment="1">
      <alignment/>
    </xf>
    <xf numFmtId="0" fontId="86" fillId="36" borderId="21" xfId="0" applyFont="1" applyFill="1" applyBorder="1" applyAlignment="1">
      <alignment/>
    </xf>
    <xf numFmtId="0" fontId="95" fillId="36" borderId="0" xfId="0" applyFont="1" applyFill="1" applyBorder="1" applyAlignment="1">
      <alignment/>
    </xf>
    <xf numFmtId="0" fontId="95" fillId="36" borderId="0" xfId="0" applyFont="1" applyFill="1" applyBorder="1" applyAlignment="1">
      <alignment horizontal="center" vertical="center"/>
    </xf>
    <xf numFmtId="166" fontId="96" fillId="36" borderId="0" xfId="0" applyNumberFormat="1" applyFont="1" applyFill="1" applyBorder="1" applyAlignment="1">
      <alignment horizontal="center"/>
    </xf>
    <xf numFmtId="0" fontId="96" fillId="36" borderId="0" xfId="0" applyFont="1" applyFill="1" applyBorder="1" applyAlignment="1">
      <alignment horizontal="center"/>
    </xf>
    <xf numFmtId="164" fontId="96" fillId="36" borderId="0" xfId="0" applyNumberFormat="1" applyFont="1" applyFill="1" applyBorder="1" applyAlignment="1">
      <alignment horizontal="center"/>
    </xf>
    <xf numFmtId="0" fontId="97" fillId="36" borderId="0" xfId="0" applyFont="1" applyFill="1" applyBorder="1" applyAlignment="1">
      <alignment/>
    </xf>
    <xf numFmtId="0" fontId="97" fillId="36" borderId="0" xfId="0" applyFont="1" applyFill="1" applyBorder="1" applyAlignment="1">
      <alignment horizontal="center" vertical="center"/>
    </xf>
    <xf numFmtId="0" fontId="97" fillId="36" borderId="0" xfId="0" applyFont="1" applyFill="1" applyAlignment="1">
      <alignment/>
    </xf>
    <xf numFmtId="167" fontId="97" fillId="36" borderId="0" xfId="42" applyNumberFormat="1" applyFont="1" applyFill="1" applyAlignment="1">
      <alignment/>
    </xf>
    <xf numFmtId="0" fontId="97" fillId="36" borderId="0" xfId="0" applyFont="1" applyFill="1" applyAlignment="1">
      <alignment horizontal="center" vertical="center"/>
    </xf>
    <xf numFmtId="167" fontId="97" fillId="36" borderId="0" xfId="42" applyNumberFormat="1" applyFont="1" applyFill="1" applyBorder="1" applyAlignment="1">
      <alignment/>
    </xf>
    <xf numFmtId="0" fontId="97" fillId="36" borderId="10" xfId="0" applyFont="1" applyFill="1" applyBorder="1" applyAlignment="1">
      <alignment/>
    </xf>
    <xf numFmtId="167" fontId="97" fillId="36" borderId="10" xfId="42" applyNumberFormat="1" applyFont="1" applyFill="1" applyBorder="1" applyAlignment="1">
      <alignment/>
    </xf>
    <xf numFmtId="0" fontId="97" fillId="36" borderId="10" xfId="0" applyFont="1" applyFill="1" applyBorder="1" applyAlignment="1">
      <alignment horizontal="center" vertical="center"/>
    </xf>
    <xf numFmtId="0" fontId="97" fillId="33" borderId="0" xfId="0" applyFont="1" applyFill="1" applyAlignment="1">
      <alignment/>
    </xf>
    <xf numFmtId="0" fontId="97" fillId="33" borderId="0" xfId="0" applyFont="1" applyFill="1" applyAlignment="1">
      <alignment horizontal="center" vertical="center"/>
    </xf>
    <xf numFmtId="49" fontId="97" fillId="33" borderId="0" xfId="0" applyNumberFormat="1" applyFont="1" applyFill="1" applyAlignment="1">
      <alignment horizontal="center"/>
    </xf>
    <xf numFmtId="0" fontId="97" fillId="39" borderId="0" xfId="58" applyFont="1" applyFill="1" applyBorder="1" applyAlignment="1">
      <alignment horizontal="center" vertical="center"/>
    </xf>
    <xf numFmtId="0" fontId="98" fillId="33" borderId="0" xfId="0" applyFont="1" applyFill="1" applyAlignment="1">
      <alignment/>
    </xf>
    <xf numFmtId="9" fontId="99" fillId="30" borderId="0" xfId="54" applyNumberFormat="1" applyFont="1" applyBorder="1" applyAlignment="1" applyProtection="1">
      <alignment horizontal="center"/>
      <protection locked="0"/>
    </xf>
    <xf numFmtId="0" fontId="97" fillId="33" borderId="0" xfId="0" applyFont="1" applyFill="1" applyBorder="1" applyAlignment="1">
      <alignment/>
    </xf>
    <xf numFmtId="0" fontId="97" fillId="39" borderId="0" xfId="0" applyFont="1" applyFill="1" applyBorder="1" applyAlignment="1">
      <alignment horizontal="center"/>
    </xf>
    <xf numFmtId="0" fontId="49" fillId="33" borderId="0" xfId="0" applyFont="1" applyFill="1" applyAlignment="1">
      <alignment horizontal="center"/>
    </xf>
    <xf numFmtId="165" fontId="100" fillId="32" borderId="10" xfId="0" applyNumberFormat="1" applyFont="1" applyFill="1" applyBorder="1" applyAlignment="1">
      <alignment horizontal="center"/>
    </xf>
    <xf numFmtId="0" fontId="100" fillId="32" borderId="10" xfId="0" applyFont="1" applyFill="1" applyBorder="1" applyAlignment="1">
      <alignment/>
    </xf>
    <xf numFmtId="0" fontId="100" fillId="32" borderId="10" xfId="0" applyFont="1" applyFill="1" applyBorder="1" applyAlignment="1">
      <alignment horizontal="center" vertical="center"/>
    </xf>
    <xf numFmtId="0" fontId="97" fillId="33" borderId="0" xfId="0" applyFont="1" applyFill="1" applyBorder="1" applyAlignment="1">
      <alignment horizontal="center"/>
    </xf>
    <xf numFmtId="0" fontId="97" fillId="33" borderId="0" xfId="0" applyFont="1" applyFill="1" applyAlignment="1">
      <alignment horizontal="center"/>
    </xf>
    <xf numFmtId="49" fontId="97" fillId="33" borderId="0" xfId="0" applyNumberFormat="1" applyFont="1" applyFill="1" applyBorder="1" applyAlignment="1">
      <alignment horizontal="center"/>
    </xf>
    <xf numFmtId="164" fontId="97" fillId="33" borderId="0" xfId="0" applyNumberFormat="1" applyFont="1" applyFill="1" applyAlignment="1">
      <alignment horizontal="center" vertical="center"/>
    </xf>
    <xf numFmtId="165" fontId="97" fillId="33" borderId="0" xfId="0" applyNumberFormat="1" applyFont="1" applyFill="1" applyBorder="1" applyAlignment="1">
      <alignment horizontal="center"/>
    </xf>
    <xf numFmtId="164" fontId="97" fillId="33" borderId="0" xfId="0" applyNumberFormat="1" applyFont="1" applyFill="1" applyBorder="1" applyAlignment="1">
      <alignment horizontal="center" vertical="center"/>
    </xf>
    <xf numFmtId="0" fontId="97" fillId="33" borderId="0" xfId="0" applyFont="1" applyFill="1" applyBorder="1" applyAlignment="1">
      <alignment horizontal="center" vertical="center"/>
    </xf>
    <xf numFmtId="0" fontId="51" fillId="33" borderId="0" xfId="0" applyFont="1" applyFill="1" applyAlignment="1">
      <alignment horizontal="center"/>
    </xf>
    <xf numFmtId="0" fontId="97" fillId="33" borderId="10" xfId="0" applyFont="1" applyFill="1" applyBorder="1" applyAlignment="1">
      <alignment/>
    </xf>
    <xf numFmtId="0" fontId="97" fillId="33" borderId="10" xfId="0" applyFont="1" applyFill="1" applyBorder="1" applyAlignment="1">
      <alignment horizontal="center" vertical="center"/>
    </xf>
    <xf numFmtId="0" fontId="97" fillId="33" borderId="10" xfId="0" applyFont="1" applyFill="1" applyBorder="1" applyAlignment="1">
      <alignment horizontal="center"/>
    </xf>
    <xf numFmtId="0" fontId="52" fillId="36" borderId="0" xfId="62" applyFont="1" applyFill="1" applyAlignment="1">
      <alignment horizontal="center"/>
    </xf>
    <xf numFmtId="0" fontId="2" fillId="33" borderId="10" xfId="0" applyFont="1" applyFill="1" applyBorder="1" applyAlignment="1">
      <alignment horizontal="center" wrapText="1"/>
    </xf>
    <xf numFmtId="0" fontId="78" fillId="0" borderId="0" xfId="52" applyAlignment="1">
      <alignment horizontal="left"/>
    </xf>
    <xf numFmtId="0" fontId="0" fillId="36" borderId="0" xfId="0" applyFont="1" applyFill="1" applyAlignment="1">
      <alignment horizontal="center"/>
    </xf>
    <xf numFmtId="10" fontId="0" fillId="36" borderId="0" xfId="60" applyNumberFormat="1" applyFont="1" applyFill="1" applyAlignment="1">
      <alignment horizontal="center"/>
    </xf>
    <xf numFmtId="0" fontId="0" fillId="36" borderId="0" xfId="0" applyFill="1" applyAlignment="1">
      <alignment horizontal="center"/>
    </xf>
    <xf numFmtId="10" fontId="0" fillId="0" borderId="0" xfId="60" applyNumberFormat="1" applyFont="1" applyAlignment="1">
      <alignment horizontal="center"/>
    </xf>
    <xf numFmtId="0" fontId="97" fillId="35" borderId="21" xfId="0" applyFont="1" applyFill="1" applyBorder="1" applyAlignment="1">
      <alignment/>
    </xf>
    <xf numFmtId="0" fontId="97" fillId="0" borderId="0" xfId="0" applyFont="1" applyAlignment="1">
      <alignment/>
    </xf>
    <xf numFmtId="0" fontId="97" fillId="35" borderId="0" xfId="0" applyFont="1" applyFill="1" applyBorder="1" applyAlignment="1">
      <alignment/>
    </xf>
    <xf numFmtId="0" fontId="97" fillId="34" borderId="10" xfId="0" applyFont="1" applyFill="1" applyBorder="1" applyAlignment="1">
      <alignment/>
    </xf>
    <xf numFmtId="0" fontId="97" fillId="35" borderId="10" xfId="0" applyFont="1" applyFill="1" applyBorder="1" applyAlignment="1">
      <alignment/>
    </xf>
    <xf numFmtId="0" fontId="0" fillId="0" borderId="0" xfId="0" applyAlignment="1">
      <alignment horizontal="left"/>
    </xf>
    <xf numFmtId="0" fontId="0" fillId="0" borderId="0" xfId="0" applyFill="1" applyAlignment="1">
      <alignment horizontal="left"/>
    </xf>
    <xf numFmtId="10" fontId="38" fillId="34" borderId="21" xfId="60" applyNumberFormat="1" applyFont="1" applyFill="1" applyBorder="1" applyAlignment="1">
      <alignment horizontal="center"/>
    </xf>
    <xf numFmtId="10" fontId="38" fillId="34" borderId="0" xfId="60" applyNumberFormat="1" applyFont="1" applyFill="1" applyBorder="1" applyAlignment="1">
      <alignment horizontal="center"/>
    </xf>
    <xf numFmtId="10" fontId="38" fillId="34" borderId="10" xfId="60" applyNumberFormat="1" applyFont="1" applyFill="1" applyBorder="1" applyAlignment="1">
      <alignment horizontal="center"/>
    </xf>
    <xf numFmtId="10" fontId="0" fillId="32" borderId="0" xfId="60" applyNumberFormat="1" applyFont="1" applyFill="1" applyBorder="1" applyAlignment="1">
      <alignment horizontal="center"/>
    </xf>
    <xf numFmtId="10" fontId="0" fillId="32" borderId="10" xfId="60" applyNumberFormat="1" applyFont="1" applyFill="1" applyBorder="1" applyAlignment="1">
      <alignment horizontal="center"/>
    </xf>
    <xf numFmtId="170" fontId="38" fillId="34" borderId="0" xfId="0" applyNumberFormat="1" applyFont="1" applyFill="1" applyBorder="1" applyAlignment="1">
      <alignment horizontal="center"/>
    </xf>
    <xf numFmtId="170" fontId="38" fillId="34" borderId="10" xfId="0" applyNumberFormat="1" applyFont="1" applyFill="1" applyBorder="1" applyAlignment="1">
      <alignment horizontal="center"/>
    </xf>
    <xf numFmtId="170" fontId="101" fillId="32" borderId="0" xfId="0" applyNumberFormat="1" applyFont="1" applyFill="1" applyAlignment="1">
      <alignment vertical="center"/>
    </xf>
    <xf numFmtId="170" fontId="102" fillId="32" borderId="0" xfId="0" applyNumberFormat="1" applyFont="1" applyFill="1" applyAlignment="1">
      <alignment horizontal="right"/>
    </xf>
    <xf numFmtId="170" fontId="0" fillId="32" borderId="0" xfId="0" applyNumberFormat="1" applyFont="1" applyFill="1" applyBorder="1" applyAlignment="1">
      <alignment/>
    </xf>
    <xf numFmtId="170" fontId="0" fillId="32" borderId="10" xfId="0" applyNumberFormat="1" applyFont="1" applyFill="1" applyBorder="1" applyAlignment="1">
      <alignment/>
    </xf>
    <xf numFmtId="170" fontId="0" fillId="36" borderId="0" xfId="0" applyNumberFormat="1" applyFont="1" applyFill="1" applyAlignment="1">
      <alignment/>
    </xf>
    <xf numFmtId="170" fontId="0" fillId="36" borderId="0" xfId="0" applyNumberFormat="1" applyFill="1" applyAlignment="1">
      <alignment/>
    </xf>
    <xf numFmtId="170" fontId="0" fillId="0" borderId="0" xfId="0" applyNumberFormat="1" applyAlignment="1">
      <alignment/>
    </xf>
    <xf numFmtId="166" fontId="38" fillId="34" borderId="0" xfId="0" applyNumberFormat="1" applyFont="1" applyFill="1" applyBorder="1" applyAlignment="1">
      <alignment horizontal="center"/>
    </xf>
    <xf numFmtId="166" fontId="38" fillId="34" borderId="10" xfId="0" applyNumberFormat="1" applyFont="1" applyFill="1" applyBorder="1" applyAlignment="1">
      <alignment horizontal="center"/>
    </xf>
    <xf numFmtId="166" fontId="0" fillId="32" borderId="0" xfId="0" applyNumberFormat="1" applyFill="1" applyAlignment="1">
      <alignment/>
    </xf>
    <xf numFmtId="166" fontId="0" fillId="32" borderId="0" xfId="42" applyNumberFormat="1" applyFont="1" applyFill="1" applyAlignment="1">
      <alignment/>
    </xf>
    <xf numFmtId="166" fontId="0" fillId="32" borderId="0" xfId="0" applyNumberFormat="1" applyFont="1" applyFill="1" applyBorder="1" applyAlignment="1">
      <alignment/>
    </xf>
    <xf numFmtId="166" fontId="0" fillId="32" borderId="10" xfId="0" applyNumberFormat="1" applyFont="1" applyFill="1" applyBorder="1" applyAlignment="1">
      <alignment/>
    </xf>
    <xf numFmtId="166" fontId="0" fillId="36" borderId="0" xfId="0" applyNumberFormat="1" applyFont="1" applyFill="1" applyAlignment="1">
      <alignment horizontal="center"/>
    </xf>
    <xf numFmtId="166" fontId="0" fillId="36" borderId="0" xfId="0" applyNumberFormat="1" applyFill="1" applyAlignment="1">
      <alignment horizontal="center"/>
    </xf>
    <xf numFmtId="166" fontId="0" fillId="0" borderId="0" xfId="0" applyNumberFormat="1" applyAlignment="1">
      <alignment horizontal="center"/>
    </xf>
    <xf numFmtId="166" fontId="0" fillId="34" borderId="0" xfId="0" applyNumberFormat="1" applyFont="1" applyFill="1" applyAlignment="1" applyProtection="1">
      <alignment horizontal="left"/>
      <protection/>
    </xf>
    <xf numFmtId="166" fontId="0" fillId="34" borderId="0" xfId="0" applyNumberFormat="1" applyFont="1" applyFill="1" applyAlignment="1">
      <alignment/>
    </xf>
    <xf numFmtId="166" fontId="0" fillId="34" borderId="0" xfId="0" applyNumberFormat="1" applyFont="1" applyFill="1" applyAlignment="1">
      <alignment horizontal="left"/>
    </xf>
    <xf numFmtId="167" fontId="0" fillId="0" borderId="0" xfId="42" applyNumberFormat="1" applyFont="1" applyAlignment="1" applyProtection="1">
      <alignment horizontal="center"/>
      <protection locked="0"/>
    </xf>
    <xf numFmtId="166" fontId="103" fillId="0" borderId="0" xfId="64" applyNumberFormat="1" applyFont="1" applyFill="1" applyBorder="1" applyAlignment="1">
      <alignment vertical="center"/>
    </xf>
    <xf numFmtId="166" fontId="41" fillId="39" borderId="12" xfId="0" applyNumberFormat="1" applyFont="1" applyFill="1" applyBorder="1" applyAlignment="1">
      <alignment/>
    </xf>
    <xf numFmtId="166" fontId="38" fillId="0" borderId="11" xfId="0" applyNumberFormat="1" applyFont="1" applyFill="1" applyBorder="1" applyAlignment="1">
      <alignment vertical="center"/>
    </xf>
    <xf numFmtId="164" fontId="104" fillId="0" borderId="11" xfId="0" applyNumberFormat="1" applyFont="1" applyFill="1" applyBorder="1" applyAlignment="1">
      <alignment horizontal="center" vertical="center"/>
    </xf>
    <xf numFmtId="164" fontId="104" fillId="39" borderId="22" xfId="0" applyNumberFormat="1" applyFont="1" applyFill="1" applyBorder="1" applyAlignment="1">
      <alignment horizontal="center" vertical="center"/>
    </xf>
    <xf numFmtId="166" fontId="38" fillId="0" borderId="11" xfId="0" applyNumberFormat="1" applyFont="1" applyFill="1" applyBorder="1" applyAlignment="1">
      <alignment horizontal="center" vertical="center"/>
    </xf>
    <xf numFmtId="164" fontId="84" fillId="34" borderId="0" xfId="0" applyNumberFormat="1" applyFont="1" applyFill="1" applyAlignment="1">
      <alignment/>
    </xf>
    <xf numFmtId="164" fontId="0" fillId="34" borderId="0" xfId="0" applyNumberFormat="1" applyFont="1" applyFill="1" applyAlignment="1">
      <alignment/>
    </xf>
    <xf numFmtId="164" fontId="0" fillId="34" borderId="0" xfId="0" applyNumberFormat="1" applyFont="1" applyFill="1" applyAlignment="1" applyProtection="1">
      <alignment/>
      <protection/>
    </xf>
    <xf numFmtId="164" fontId="84" fillId="34" borderId="0" xfId="0" applyNumberFormat="1" applyFont="1" applyFill="1" applyAlignment="1" applyProtection="1">
      <alignment/>
      <protection/>
    </xf>
    <xf numFmtId="0" fontId="0" fillId="33" borderId="0" xfId="0" applyFill="1" applyAlignment="1">
      <alignment/>
    </xf>
    <xf numFmtId="0" fontId="0" fillId="0" borderId="0" xfId="0" applyAlignment="1" applyProtection="1">
      <alignment/>
      <protection locked="0"/>
    </xf>
    <xf numFmtId="0" fontId="0" fillId="0" borderId="0" xfId="0" applyAlignment="1" applyProtection="1">
      <alignment horizontal="center" vertical="center"/>
      <protection locked="0"/>
    </xf>
    <xf numFmtId="2" fontId="0" fillId="0" borderId="0" xfId="0" applyNumberFormat="1" applyAlignment="1" applyProtection="1">
      <alignment horizontal="right" indent="1"/>
      <protection locked="0"/>
    </xf>
    <xf numFmtId="164" fontId="0" fillId="34" borderId="0" xfId="0" applyNumberFormat="1" applyFont="1" applyFill="1" applyAlignment="1" applyProtection="1">
      <alignment horizontal="right"/>
      <protection/>
    </xf>
    <xf numFmtId="166" fontId="0" fillId="36" borderId="0" xfId="0" applyNumberFormat="1" applyFont="1" applyFill="1" applyAlignment="1">
      <alignment horizontal="center"/>
    </xf>
    <xf numFmtId="166" fontId="0" fillId="36" borderId="0" xfId="0" applyNumberFormat="1" applyFill="1" applyAlignment="1">
      <alignment horizontal="center"/>
    </xf>
    <xf numFmtId="166" fontId="0" fillId="0" borderId="0" xfId="0" applyNumberFormat="1" applyAlignment="1">
      <alignment horizontal="center"/>
    </xf>
    <xf numFmtId="0" fontId="0" fillId="0" borderId="0" xfId="0" applyAlignment="1">
      <alignment/>
    </xf>
    <xf numFmtId="10" fontId="0" fillId="32" borderId="0" xfId="60" applyNumberFormat="1" applyFont="1" applyFill="1" applyAlignment="1">
      <alignment horizontal="center"/>
    </xf>
    <xf numFmtId="0" fontId="0" fillId="33" borderId="0" xfId="0" applyFont="1" applyFill="1" applyAlignment="1">
      <alignment/>
    </xf>
    <xf numFmtId="0" fontId="0" fillId="39" borderId="0" xfId="0" applyFont="1" applyFill="1" applyAlignment="1">
      <alignment/>
    </xf>
    <xf numFmtId="0" fontId="0" fillId="35" borderId="0" xfId="0" applyFont="1" applyFill="1" applyAlignment="1">
      <alignment/>
    </xf>
    <xf numFmtId="166" fontId="0" fillId="32" borderId="0" xfId="0" applyNumberFormat="1" applyFont="1" applyFill="1" applyAlignment="1">
      <alignment/>
    </xf>
    <xf numFmtId="170" fontId="0" fillId="32" borderId="0" xfId="0" applyNumberFormat="1" applyFont="1" applyFill="1" applyAlignment="1">
      <alignment/>
    </xf>
    <xf numFmtId="0" fontId="0" fillId="39" borderId="0" xfId="0" applyFont="1" applyFill="1" applyAlignment="1" applyProtection="1">
      <alignment horizontal="center" vertical="center"/>
      <protection locked="0"/>
    </xf>
    <xf numFmtId="166" fontId="0" fillId="34" borderId="0" xfId="0" applyNumberFormat="1" applyFont="1" applyFill="1" applyAlignment="1">
      <alignment/>
    </xf>
    <xf numFmtId="164" fontId="0" fillId="32" borderId="0" xfId="0" applyNumberFormat="1" applyFont="1" applyFill="1" applyAlignment="1">
      <alignment/>
    </xf>
    <xf numFmtId="166" fontId="0" fillId="32" borderId="0" xfId="0" applyNumberFormat="1" applyFont="1" applyFill="1" applyBorder="1" applyAlignment="1">
      <alignment horizontal="right"/>
    </xf>
    <xf numFmtId="0" fontId="0" fillId="0" borderId="0" xfId="0" applyAlignment="1">
      <alignment/>
    </xf>
    <xf numFmtId="0" fontId="0" fillId="33" borderId="0" xfId="0" applyFill="1" applyBorder="1" applyAlignment="1">
      <alignment/>
    </xf>
    <xf numFmtId="164" fontId="0" fillId="34" borderId="0" xfId="0" applyNumberFormat="1" applyFill="1" applyBorder="1" applyAlignment="1" applyProtection="1">
      <alignment/>
      <protection/>
    </xf>
    <xf numFmtId="0" fontId="0" fillId="35" borderId="0" xfId="0" applyFill="1" applyBorder="1" applyAlignment="1">
      <alignment/>
    </xf>
    <xf numFmtId="0" fontId="0" fillId="33" borderId="0" xfId="0" applyFill="1" applyBorder="1" applyAlignment="1">
      <alignment horizontal="center" vertical="center"/>
    </xf>
    <xf numFmtId="164" fontId="0" fillId="33" borderId="0" xfId="0" applyNumberFormat="1" applyFill="1" applyBorder="1" applyAlignment="1">
      <alignment/>
    </xf>
    <xf numFmtId="0" fontId="0" fillId="0" borderId="0" xfId="0" applyFill="1" applyAlignment="1">
      <alignment/>
    </xf>
    <xf numFmtId="0" fontId="0" fillId="0" borderId="0" xfId="0" applyAlignment="1">
      <alignment horizontal="center" vertical="center"/>
    </xf>
    <xf numFmtId="167" fontId="0" fillId="0" borderId="0" xfId="42" applyNumberFormat="1" applyFont="1" applyAlignment="1">
      <alignment/>
    </xf>
    <xf numFmtId="0" fontId="0" fillId="36" borderId="0" xfId="0" applyFill="1" applyAlignment="1">
      <alignment/>
    </xf>
    <xf numFmtId="10" fontId="0" fillId="0" borderId="0" xfId="60" applyNumberFormat="1" applyFont="1" applyAlignment="1">
      <alignment horizontal="center"/>
    </xf>
    <xf numFmtId="10" fontId="0" fillId="32" borderId="0" xfId="60" applyNumberFormat="1" applyFont="1" applyFill="1" applyAlignment="1">
      <alignment horizontal="center"/>
    </xf>
    <xf numFmtId="10" fontId="0" fillId="32" borderId="0" xfId="60" applyNumberFormat="1" applyFont="1" applyFill="1" applyBorder="1" applyAlignment="1">
      <alignment horizontal="center"/>
    </xf>
    <xf numFmtId="10" fontId="0" fillId="32" borderId="10" xfId="60" applyNumberFormat="1" applyFont="1" applyFill="1" applyBorder="1" applyAlignment="1">
      <alignment horizontal="center"/>
    </xf>
    <xf numFmtId="0" fontId="0" fillId="0" borderId="0" xfId="0" applyAlignment="1">
      <alignment horizontal="center"/>
    </xf>
    <xf numFmtId="167" fontId="0" fillId="36" borderId="0" xfId="42" applyNumberFormat="1" applyFont="1" applyFill="1" applyAlignment="1">
      <alignment/>
    </xf>
    <xf numFmtId="0" fontId="0" fillId="36" borderId="0" xfId="0" applyFill="1" applyAlignment="1">
      <alignment horizontal="center" vertical="center"/>
    </xf>
    <xf numFmtId="0" fontId="0" fillId="36" borderId="0" xfId="0" applyFont="1" applyFill="1" applyAlignment="1">
      <alignment/>
    </xf>
    <xf numFmtId="0" fontId="0" fillId="36" borderId="0" xfId="0" applyFont="1" applyFill="1" applyAlignment="1">
      <alignment horizontal="center" vertical="center"/>
    </xf>
    <xf numFmtId="0" fontId="0" fillId="36" borderId="0" xfId="0" applyFill="1" applyAlignment="1">
      <alignment horizontal="center"/>
    </xf>
    <xf numFmtId="10" fontId="0" fillId="36" borderId="0" xfId="60" applyNumberFormat="1" applyFont="1" applyFill="1" applyAlignment="1">
      <alignment horizontal="center"/>
    </xf>
    <xf numFmtId="166" fontId="0" fillId="0" borderId="0" xfId="0" applyNumberFormat="1" applyAlignment="1">
      <alignment/>
    </xf>
    <xf numFmtId="0" fontId="0" fillId="32" borderId="0" xfId="0" applyFill="1" applyAlignment="1">
      <alignment/>
    </xf>
    <xf numFmtId="0" fontId="0" fillId="33" borderId="0" xfId="0" applyFont="1" applyFill="1" applyAlignment="1">
      <alignment/>
    </xf>
    <xf numFmtId="0" fontId="0" fillId="33" borderId="0" xfId="0" applyFont="1" applyFill="1" applyAlignment="1">
      <alignment horizontal="center" vertical="center"/>
    </xf>
    <xf numFmtId="0" fontId="0" fillId="39" borderId="0" xfId="0" applyFont="1" applyFill="1" applyAlignment="1">
      <alignment/>
    </xf>
    <xf numFmtId="164" fontId="0" fillId="33" borderId="0" xfId="0" applyNumberFormat="1" applyFont="1" applyFill="1" applyAlignment="1">
      <alignment/>
    </xf>
    <xf numFmtId="164" fontId="0" fillId="34" borderId="0" xfId="0" applyNumberFormat="1" applyFont="1" applyFill="1" applyAlignment="1" applyProtection="1">
      <alignment/>
      <protection/>
    </xf>
    <xf numFmtId="0" fontId="0" fillId="35" borderId="0" xfId="0" applyFont="1" applyFill="1" applyAlignment="1">
      <alignment/>
    </xf>
    <xf numFmtId="0" fontId="0" fillId="0" borderId="0" xfId="0" applyFont="1" applyAlignment="1" applyProtection="1">
      <alignment horizontal="center" vertical="center"/>
      <protection locked="0"/>
    </xf>
    <xf numFmtId="166" fontId="0" fillId="32" borderId="0" xfId="0" applyNumberFormat="1" applyFont="1" applyFill="1" applyAlignment="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lignment horizontal="left" vertical="center"/>
    </xf>
    <xf numFmtId="170" fontId="0" fillId="32" borderId="0" xfId="0" applyNumberFormat="1" applyFont="1" applyFill="1" applyAlignment="1">
      <alignment horizontal="right"/>
    </xf>
    <xf numFmtId="170" fontId="0" fillId="32" borderId="0" xfId="0" applyNumberFormat="1" applyFont="1" applyFill="1" applyAlignment="1">
      <alignment/>
    </xf>
    <xf numFmtId="0" fontId="0" fillId="39" borderId="0" xfId="0" applyFont="1" applyFill="1" applyAlignment="1" applyProtection="1">
      <alignment horizontal="center" vertical="center"/>
      <protection locked="0"/>
    </xf>
    <xf numFmtId="0" fontId="0" fillId="33" borderId="10" xfId="0" applyFont="1" applyFill="1" applyBorder="1" applyAlignment="1">
      <alignment/>
    </xf>
    <xf numFmtId="0" fontId="0" fillId="33" borderId="10" xfId="0" applyFont="1" applyFill="1" applyBorder="1" applyAlignment="1">
      <alignment horizontal="center" vertical="center"/>
    </xf>
    <xf numFmtId="0" fontId="0" fillId="34" borderId="10" xfId="0" applyFont="1" applyFill="1" applyBorder="1" applyAlignment="1">
      <alignment/>
    </xf>
    <xf numFmtId="0" fontId="0" fillId="35" borderId="10" xfId="0" applyFont="1" applyFill="1" applyBorder="1" applyAlignment="1">
      <alignment/>
    </xf>
    <xf numFmtId="0" fontId="39" fillId="33" borderId="0" xfId="0" applyFont="1" applyFill="1" applyBorder="1" applyAlignment="1">
      <alignment/>
    </xf>
    <xf numFmtId="0" fontId="40" fillId="33" borderId="0" xfId="0" applyFont="1" applyFill="1" applyAlignment="1">
      <alignment/>
    </xf>
    <xf numFmtId="0" fontId="41" fillId="0" borderId="0" xfId="0" applyFont="1" applyAlignment="1" applyProtection="1">
      <alignment/>
      <protection locked="0"/>
    </xf>
    <xf numFmtId="166" fontId="93" fillId="0" borderId="0" xfId="0" applyNumberFormat="1" applyFont="1" applyAlignment="1" applyProtection="1">
      <alignment/>
      <protection locked="0"/>
    </xf>
    <xf numFmtId="0" fontId="41" fillId="0" borderId="0" xfId="0" applyFont="1" applyFill="1" applyAlignment="1" applyProtection="1">
      <alignment/>
      <protection locked="0"/>
    </xf>
    <xf numFmtId="0" fontId="41" fillId="0" borderId="0" xfId="0" applyFont="1" applyAlignment="1" applyProtection="1">
      <alignment horizontal="center" vertical="center"/>
      <protection locked="0"/>
    </xf>
    <xf numFmtId="164" fontId="93" fillId="39" borderId="0" xfId="0" applyNumberFormat="1" applyFont="1" applyFill="1" applyAlignment="1" applyProtection="1">
      <alignment/>
      <protection locked="0"/>
    </xf>
    <xf numFmtId="0" fontId="38" fillId="33" borderId="21" xfId="0" applyFont="1" applyFill="1" applyBorder="1" applyAlignment="1">
      <alignment/>
    </xf>
    <xf numFmtId="0" fontId="38" fillId="33" borderId="21" xfId="0" applyFont="1" applyFill="1" applyBorder="1" applyAlignment="1">
      <alignment horizontal="center"/>
    </xf>
    <xf numFmtId="0" fontId="38" fillId="33" borderId="21" xfId="0" applyFont="1" applyFill="1" applyBorder="1" applyAlignment="1">
      <alignment horizontal="center" vertical="center"/>
    </xf>
    <xf numFmtId="0" fontId="38" fillId="34" borderId="21" xfId="0" applyFont="1" applyFill="1" applyBorder="1" applyAlignment="1">
      <alignment horizontal="center"/>
    </xf>
    <xf numFmtId="0" fontId="97" fillId="35" borderId="21" xfId="0" applyFont="1" applyFill="1" applyBorder="1" applyAlignment="1">
      <alignment/>
    </xf>
    <xf numFmtId="0" fontId="97" fillId="0" borderId="0" xfId="0" applyFont="1" applyAlignment="1">
      <alignment/>
    </xf>
    <xf numFmtId="0" fontId="38" fillId="33" borderId="0" xfId="0" applyFont="1" applyFill="1" applyBorder="1" applyAlignment="1">
      <alignment horizontal="center"/>
    </xf>
    <xf numFmtId="0" fontId="38" fillId="33" borderId="0" xfId="0" applyFont="1" applyFill="1" applyBorder="1" applyAlignment="1">
      <alignment/>
    </xf>
    <xf numFmtId="0" fontId="38" fillId="33" borderId="0" xfId="0" applyFont="1" applyFill="1" applyBorder="1" applyAlignment="1">
      <alignment horizontal="center" vertical="center"/>
    </xf>
    <xf numFmtId="0" fontId="38" fillId="34" borderId="0" xfId="0" applyFont="1" applyFill="1" applyBorder="1" applyAlignment="1">
      <alignment horizontal="center"/>
    </xf>
    <xf numFmtId="0" fontId="97" fillId="35" borderId="0" xfId="0" applyFont="1" applyFill="1" applyBorder="1" applyAlignment="1">
      <alignment/>
    </xf>
    <xf numFmtId="0" fontId="97" fillId="33" borderId="10" xfId="0" applyFont="1" applyFill="1" applyBorder="1" applyAlignment="1">
      <alignment horizontal="center"/>
    </xf>
    <xf numFmtId="0" fontId="97" fillId="33" borderId="10" xfId="0" applyFont="1" applyFill="1" applyBorder="1" applyAlignment="1">
      <alignment/>
    </xf>
    <xf numFmtId="0" fontId="97" fillId="33" borderId="10" xfId="0" applyFont="1" applyFill="1" applyBorder="1" applyAlignment="1">
      <alignment horizontal="center" vertical="center"/>
    </xf>
    <xf numFmtId="0" fontId="97" fillId="35" borderId="10" xfId="0" applyFont="1" applyFill="1" applyBorder="1" applyAlignment="1">
      <alignment/>
    </xf>
    <xf numFmtId="170" fontId="102" fillId="32" borderId="0" xfId="0" applyNumberFormat="1" applyFont="1" applyFill="1" applyAlignment="1">
      <alignment horizontal="right"/>
    </xf>
    <xf numFmtId="166" fontId="0" fillId="32" borderId="0" xfId="0" applyNumberFormat="1" applyFont="1" applyFill="1" applyBorder="1" applyAlignment="1">
      <alignment/>
    </xf>
    <xf numFmtId="166" fontId="0" fillId="34" borderId="0" xfId="0" applyNumberFormat="1" applyFont="1" applyFill="1" applyAlignment="1">
      <alignment/>
    </xf>
    <xf numFmtId="166" fontId="38" fillId="34" borderId="21" xfId="0" applyNumberFormat="1" applyFont="1" applyFill="1" applyBorder="1" applyAlignment="1">
      <alignment horizontal="center"/>
    </xf>
    <xf numFmtId="166" fontId="38" fillId="34" borderId="0" xfId="0" applyNumberFormat="1" applyFont="1" applyFill="1" applyBorder="1" applyAlignment="1">
      <alignment horizontal="center"/>
    </xf>
    <xf numFmtId="166" fontId="38" fillId="34" borderId="10" xfId="0" applyNumberFormat="1" applyFont="1" applyFill="1" applyBorder="1" applyAlignment="1">
      <alignment horizontal="center"/>
    </xf>
    <xf numFmtId="166" fontId="0" fillId="32" borderId="0" xfId="42" applyNumberFormat="1" applyFont="1" applyFill="1" applyAlignment="1">
      <alignment horizontal="center"/>
    </xf>
    <xf numFmtId="166" fontId="0" fillId="32" borderId="10" xfId="0" applyNumberFormat="1" applyFont="1" applyFill="1" applyBorder="1" applyAlignment="1">
      <alignment/>
    </xf>
    <xf numFmtId="166" fontId="0" fillId="34" borderId="0" xfId="0" applyNumberFormat="1" applyFont="1" applyFill="1" applyAlignment="1" applyProtection="1">
      <alignment horizontal="left"/>
      <protection/>
    </xf>
    <xf numFmtId="166" fontId="0" fillId="34" borderId="0" xfId="0" applyNumberFormat="1" applyFont="1" applyFill="1" applyAlignment="1" applyProtection="1">
      <alignment/>
      <protection/>
    </xf>
    <xf numFmtId="166" fontId="0" fillId="34" borderId="0" xfId="0" applyNumberFormat="1" applyFont="1" applyFill="1" applyAlignment="1">
      <alignment horizontal="left"/>
    </xf>
    <xf numFmtId="164" fontId="0" fillId="32" borderId="0" xfId="0" applyNumberFormat="1" applyFont="1" applyFill="1" applyAlignment="1">
      <alignment/>
    </xf>
    <xf numFmtId="0" fontId="0" fillId="0" borderId="0" xfId="0" applyFont="1" applyAlignment="1" applyProtection="1">
      <alignment horizontal="center"/>
      <protection locked="0"/>
    </xf>
    <xf numFmtId="167" fontId="0" fillId="0" borderId="0" xfId="42" applyNumberFormat="1" applyFont="1" applyAlignment="1" applyProtection="1">
      <alignment horizontal="center"/>
      <protection locked="0"/>
    </xf>
    <xf numFmtId="167" fontId="0" fillId="39" borderId="0" xfId="42" applyNumberFormat="1" applyFont="1" applyFill="1" applyAlignment="1" applyProtection="1">
      <alignment horizontal="center"/>
      <protection locked="0"/>
    </xf>
    <xf numFmtId="0" fontId="0" fillId="33" borderId="0" xfId="0" applyFont="1" applyFill="1" applyAlignment="1">
      <alignment horizontal="center"/>
    </xf>
    <xf numFmtId="166" fontId="0" fillId="32" borderId="0" xfId="0" applyNumberFormat="1" applyFill="1" applyAlignment="1">
      <alignment/>
    </xf>
    <xf numFmtId="170" fontId="38" fillId="34" borderId="21" xfId="0" applyNumberFormat="1" applyFont="1" applyFill="1" applyBorder="1" applyAlignment="1">
      <alignment horizontal="center"/>
    </xf>
    <xf numFmtId="170" fontId="38" fillId="34" borderId="0" xfId="0" applyNumberFormat="1" applyFont="1" applyFill="1" applyBorder="1" applyAlignment="1">
      <alignment horizontal="center"/>
    </xf>
    <xf numFmtId="170" fontId="38" fillId="34" borderId="10" xfId="0" applyNumberFormat="1" applyFont="1" applyFill="1" applyBorder="1" applyAlignment="1">
      <alignment horizontal="center"/>
    </xf>
    <xf numFmtId="170" fontId="0" fillId="36" borderId="0" xfId="0" applyNumberFormat="1" applyFill="1" applyAlignment="1">
      <alignment/>
    </xf>
    <xf numFmtId="170" fontId="0" fillId="0" borderId="0" xfId="0" applyNumberFormat="1" applyAlignment="1">
      <alignment/>
    </xf>
    <xf numFmtId="1" fontId="0" fillId="32" borderId="0" xfId="0" applyNumberFormat="1" applyFont="1" applyFill="1" applyAlignment="1">
      <alignment horizontal="center"/>
    </xf>
    <xf numFmtId="1" fontId="0" fillId="32" borderId="0" xfId="42" applyNumberFormat="1" applyFont="1" applyFill="1" applyAlignment="1">
      <alignment horizontal="center"/>
    </xf>
    <xf numFmtId="170" fontId="0" fillId="32" borderId="0" xfId="0" applyNumberFormat="1" applyFont="1" applyFill="1" applyBorder="1" applyAlignment="1">
      <alignment/>
    </xf>
    <xf numFmtId="170" fontId="0" fillId="32" borderId="10" xfId="0" applyNumberFormat="1" applyFont="1" applyFill="1" applyBorder="1" applyAlignment="1">
      <alignment/>
    </xf>
    <xf numFmtId="170" fontId="0" fillId="36" borderId="0" xfId="0" applyNumberFormat="1" applyFont="1" applyFill="1" applyAlignment="1">
      <alignment/>
    </xf>
    <xf numFmtId="166" fontId="0" fillId="32" borderId="0" xfId="0" applyNumberFormat="1" applyFont="1" applyFill="1" applyAlignment="1">
      <alignment horizontal="right"/>
    </xf>
    <xf numFmtId="166" fontId="0" fillId="32" borderId="0" xfId="42" applyNumberFormat="1" applyFont="1" applyFill="1" applyAlignment="1">
      <alignment horizontal="right"/>
    </xf>
    <xf numFmtId="166" fontId="0" fillId="32" borderId="0" xfId="0" applyNumberFormat="1" applyFont="1" applyFill="1" applyBorder="1" applyAlignment="1">
      <alignment horizontal="right"/>
    </xf>
    <xf numFmtId="164" fontId="93" fillId="0" borderId="0" xfId="0" applyNumberFormat="1" applyFont="1" applyAlignment="1" applyProtection="1">
      <alignment/>
      <protection locked="0"/>
    </xf>
    <xf numFmtId="0" fontId="40" fillId="39" borderId="0" xfId="0" applyFont="1" applyFill="1" applyAlignment="1" applyProtection="1">
      <alignment/>
      <protection locked="0"/>
    </xf>
    <xf numFmtId="166" fontId="0" fillId="32" borderId="0" xfId="0" applyNumberFormat="1" applyFont="1" applyFill="1" applyAlignment="1">
      <alignment horizontal="right" indent="1"/>
    </xf>
    <xf numFmtId="0" fontId="0" fillId="32" borderId="0" xfId="0" applyFont="1" applyFill="1" applyAlignment="1">
      <alignment horizontal="right" indent="1"/>
    </xf>
    <xf numFmtId="6" fontId="0" fillId="32" borderId="0" xfId="0" applyNumberFormat="1" applyFont="1" applyFill="1" applyAlignment="1">
      <alignment horizontal="right" indent="1"/>
    </xf>
    <xf numFmtId="164" fontId="84" fillId="32" borderId="0" xfId="0" applyNumberFormat="1" applyFont="1" applyFill="1" applyAlignment="1">
      <alignment horizontal="right" indent="1"/>
    </xf>
    <xf numFmtId="0" fontId="97" fillId="34" borderId="10" xfId="0" applyFont="1" applyFill="1" applyBorder="1" applyAlignment="1">
      <alignment horizontal="center"/>
    </xf>
    <xf numFmtId="0" fontId="0" fillId="0" borderId="0" xfId="0" applyAlignment="1">
      <alignment/>
    </xf>
    <xf numFmtId="10" fontId="0" fillId="32" borderId="0" xfId="60" applyNumberFormat="1" applyFont="1" applyFill="1" applyAlignment="1">
      <alignment horizontal="center"/>
    </xf>
    <xf numFmtId="167" fontId="0" fillId="36" borderId="0" xfId="42" applyNumberFormat="1" applyFont="1" applyFill="1" applyAlignment="1">
      <alignment/>
    </xf>
    <xf numFmtId="0" fontId="0" fillId="36" borderId="0" xfId="0" applyFill="1" applyAlignment="1">
      <alignment horizontal="center" vertical="center"/>
    </xf>
    <xf numFmtId="166" fontId="0" fillId="32" borderId="0" xfId="0" applyNumberFormat="1" applyFont="1" applyFill="1" applyAlignment="1">
      <alignment/>
    </xf>
    <xf numFmtId="170" fontId="0" fillId="32" borderId="0" xfId="0" applyNumberFormat="1" applyFont="1" applyFill="1" applyAlignment="1">
      <alignment/>
    </xf>
    <xf numFmtId="170" fontId="0" fillId="32" borderId="0" xfId="0" applyNumberFormat="1" applyFont="1" applyFill="1" applyAlignment="1">
      <alignment vertical="center"/>
    </xf>
    <xf numFmtId="166" fontId="0" fillId="32" borderId="0" xfId="0" applyNumberFormat="1" applyFont="1" applyFill="1" applyAlignment="1">
      <alignment horizontal="right" indent="1"/>
    </xf>
    <xf numFmtId="0" fontId="105" fillId="36" borderId="0" xfId="0" applyFont="1" applyFill="1" applyAlignment="1">
      <alignment/>
    </xf>
    <xf numFmtId="0" fontId="106" fillId="36" borderId="0" xfId="0" applyFont="1" applyFill="1" applyAlignment="1">
      <alignment vertical="center"/>
    </xf>
    <xf numFmtId="0" fontId="107" fillId="36" borderId="0" xfId="0" applyFont="1" applyFill="1" applyAlignment="1">
      <alignment vertical="center"/>
    </xf>
    <xf numFmtId="0" fontId="0" fillId="36" borderId="0" xfId="0" applyFill="1" applyAlignment="1">
      <alignment/>
    </xf>
    <xf numFmtId="10" fontId="0" fillId="32" borderId="0" xfId="60" applyNumberFormat="1" applyFont="1" applyFill="1" applyAlignment="1">
      <alignment horizontal="center"/>
    </xf>
    <xf numFmtId="0" fontId="6" fillId="36" borderId="0" xfId="53" applyFill="1" applyAlignment="1" applyProtection="1">
      <alignment/>
      <protection/>
    </xf>
    <xf numFmtId="0" fontId="0" fillId="36" borderId="0" xfId="0" applyFont="1" applyFill="1" applyBorder="1" applyAlignment="1">
      <alignment/>
    </xf>
    <xf numFmtId="166" fontId="0" fillId="32" borderId="0" xfId="0" applyNumberFormat="1" applyFont="1" applyFill="1" applyAlignment="1">
      <alignment/>
    </xf>
    <xf numFmtId="170" fontId="0" fillId="32" borderId="0" xfId="0" applyNumberFormat="1" applyFont="1" applyFill="1" applyAlignment="1">
      <alignment/>
    </xf>
    <xf numFmtId="0" fontId="38" fillId="34" borderId="0" xfId="0" applyFont="1" applyFill="1" applyBorder="1" applyAlignment="1">
      <alignment horizontal="center"/>
    </xf>
    <xf numFmtId="170" fontId="0" fillId="32" borderId="0" xfId="0" applyNumberFormat="1" applyFont="1" applyFill="1" applyAlignment="1">
      <alignment vertical="center"/>
    </xf>
    <xf numFmtId="166" fontId="0" fillId="34" borderId="0" xfId="0" applyNumberFormat="1" applyFont="1" applyFill="1" applyAlignment="1">
      <alignment/>
    </xf>
    <xf numFmtId="0" fontId="3" fillId="36" borderId="0" xfId="57" applyFill="1">
      <alignment/>
      <protection/>
    </xf>
    <xf numFmtId="166" fontId="0" fillId="32" borderId="0" xfId="0" applyNumberFormat="1" applyFont="1" applyFill="1" applyAlignment="1">
      <alignment horizontal="right" indent="1"/>
    </xf>
    <xf numFmtId="0" fontId="0" fillId="32" borderId="10" xfId="0" applyFont="1" applyFill="1" applyBorder="1" applyAlignment="1">
      <alignment horizontal="right" indent="1"/>
    </xf>
    <xf numFmtId="0" fontId="0" fillId="36" borderId="0" xfId="0" applyFont="1" applyFill="1" applyAlignment="1">
      <alignment horizontal="right" indent="1"/>
    </xf>
    <xf numFmtId="0" fontId="0" fillId="36" borderId="0" xfId="0" applyFill="1" applyAlignment="1">
      <alignment horizontal="right" indent="1"/>
    </xf>
    <xf numFmtId="0" fontId="0" fillId="0" borderId="0" xfId="0" applyAlignment="1">
      <alignment horizontal="right" indent="1"/>
    </xf>
    <xf numFmtId="166" fontId="37" fillId="0" borderId="8" xfId="59" applyNumberFormat="1" applyFont="1" applyFill="1" applyAlignment="1">
      <alignment/>
    </xf>
    <xf numFmtId="0" fontId="6" fillId="0" borderId="0" xfId="53" applyAlignment="1" applyProtection="1">
      <alignment/>
      <protection/>
    </xf>
    <xf numFmtId="171" fontId="0" fillId="0" borderId="0" xfId="42" applyNumberFormat="1" applyFont="1" applyAlignment="1">
      <alignment/>
    </xf>
    <xf numFmtId="164" fontId="0" fillId="0" borderId="0" xfId="0" applyNumberFormat="1" applyAlignment="1">
      <alignment/>
    </xf>
    <xf numFmtId="0" fontId="78" fillId="0" borderId="0" xfId="52" applyAlignment="1">
      <alignment horizontal="center"/>
    </xf>
    <xf numFmtId="166" fontId="37" fillId="0" borderId="13" xfId="59" applyNumberFormat="1" applyFont="1" applyFill="1" applyBorder="1" applyAlignment="1">
      <alignment/>
    </xf>
    <xf numFmtId="0" fontId="36" fillId="0" borderId="18" xfId="59" applyFont="1" applyFill="1" applyBorder="1" applyAlignment="1">
      <alignment/>
    </xf>
    <xf numFmtId="2" fontId="37" fillId="0" borderId="15" xfId="59" applyNumberFormat="1" applyFont="1" applyFill="1" applyBorder="1" applyAlignment="1">
      <alignment horizontal="center"/>
    </xf>
    <xf numFmtId="166" fontId="35" fillId="0" borderId="13" xfId="59" applyNumberFormat="1" applyFont="1" applyFill="1" applyBorder="1" applyAlignment="1">
      <alignment/>
    </xf>
    <xf numFmtId="166" fontId="35" fillId="0" borderId="8" xfId="59" applyNumberFormat="1" applyFont="1" applyFill="1" applyAlignment="1">
      <alignment/>
    </xf>
    <xf numFmtId="2" fontId="37" fillId="0" borderId="13" xfId="59" applyNumberFormat="1" applyFont="1" applyFill="1" applyBorder="1" applyAlignment="1">
      <alignment/>
    </xf>
    <xf numFmtId="2" fontId="37" fillId="0" borderId="8" xfId="59" applyNumberFormat="1" applyFont="1" applyFill="1" applyAlignment="1">
      <alignment/>
    </xf>
    <xf numFmtId="2" fontId="0" fillId="0" borderId="11" xfId="0" applyNumberFormat="1" applyBorder="1" applyAlignment="1">
      <alignment horizontal="center"/>
    </xf>
    <xf numFmtId="164" fontId="0" fillId="0" borderId="11" xfId="0" applyNumberFormat="1" applyBorder="1" applyAlignment="1">
      <alignment horizontal="center"/>
    </xf>
    <xf numFmtId="164" fontId="84" fillId="34" borderId="0" xfId="0" applyNumberFormat="1" applyFont="1" applyFill="1" applyAlignment="1" applyProtection="1">
      <alignment horizontal="left" indent="1"/>
      <protection/>
    </xf>
    <xf numFmtId="0" fontId="94" fillId="0" borderId="0" xfId="49" applyFont="1" applyBorder="1" applyAlignment="1" applyProtection="1">
      <alignment horizontal="left" wrapText="1"/>
      <protection locked="0"/>
    </xf>
    <xf numFmtId="0" fontId="41" fillId="39" borderId="23" xfId="33" applyFont="1" applyFill="1" applyBorder="1" applyAlignment="1">
      <alignment/>
    </xf>
    <xf numFmtId="0" fontId="41" fillId="39" borderId="0" xfId="33" applyFont="1" applyFill="1" applyBorder="1" applyAlignment="1">
      <alignment horizontal="center"/>
    </xf>
    <xf numFmtId="0" fontId="41" fillId="39" borderId="24" xfId="33" applyFont="1" applyFill="1" applyBorder="1" applyAlignment="1">
      <alignment horizontal="center"/>
    </xf>
    <xf numFmtId="0" fontId="41" fillId="39" borderId="25" xfId="33" applyFont="1" applyFill="1" applyBorder="1" applyAlignment="1">
      <alignment/>
    </xf>
    <xf numFmtId="0" fontId="41" fillId="39" borderId="10" xfId="33" applyFont="1" applyFill="1" applyBorder="1" applyAlignment="1">
      <alignment horizontal="center"/>
    </xf>
    <xf numFmtId="0" fontId="41" fillId="39" borderId="26" xfId="33" applyFont="1" applyFill="1" applyBorder="1" applyAlignment="1">
      <alignment horizontal="center"/>
    </xf>
    <xf numFmtId="0" fontId="108" fillId="0" borderId="10" xfId="49" applyFont="1" applyBorder="1" applyAlignment="1" applyProtection="1">
      <alignment horizontal="left" wrapText="1"/>
      <protection locked="0"/>
    </xf>
    <xf numFmtId="164" fontId="40" fillId="34" borderId="10" xfId="0" applyNumberFormat="1" applyFont="1" applyFill="1" applyBorder="1" applyAlignment="1">
      <alignment/>
    </xf>
    <xf numFmtId="0" fontId="41" fillId="35" borderId="10" xfId="0" applyFont="1" applyFill="1" applyBorder="1" applyAlignment="1">
      <alignment/>
    </xf>
    <xf numFmtId="164" fontId="40" fillId="34" borderId="10" xfId="0" applyNumberFormat="1" applyFont="1" applyFill="1" applyBorder="1" applyAlignment="1">
      <alignment/>
    </xf>
    <xf numFmtId="0" fontId="40" fillId="35" borderId="10" xfId="0" applyFont="1" applyFill="1" applyBorder="1" applyAlignment="1">
      <alignment/>
    </xf>
    <xf numFmtId="4" fontId="104" fillId="0" borderId="11" xfId="42" applyNumberFormat="1" applyFont="1" applyFill="1" applyBorder="1" applyAlignment="1">
      <alignment horizontal="center" vertical="center"/>
    </xf>
    <xf numFmtId="0" fontId="35" fillId="0" borderId="18" xfId="0" applyFont="1" applyFill="1" applyBorder="1" applyAlignment="1">
      <alignment/>
    </xf>
    <xf numFmtId="166" fontId="37" fillId="0" borderId="19" xfId="0" applyNumberFormat="1" applyFont="1" applyFill="1" applyBorder="1" applyAlignment="1">
      <alignment/>
    </xf>
    <xf numFmtId="166" fontId="35" fillId="0" borderId="20" xfId="0" applyNumberFormat="1" applyFont="1" applyFill="1" applyBorder="1" applyAlignment="1">
      <alignment/>
    </xf>
    <xf numFmtId="43" fontId="0" fillId="0" borderId="0" xfId="42" applyFont="1" applyAlignment="1">
      <alignment/>
    </xf>
    <xf numFmtId="164" fontId="87" fillId="0" borderId="0" xfId="0" applyNumberFormat="1" applyFont="1" applyAlignment="1">
      <alignment/>
    </xf>
    <xf numFmtId="0" fontId="0" fillId="0" borderId="11" xfId="0" applyBorder="1" applyAlignment="1">
      <alignment/>
    </xf>
    <xf numFmtId="165" fontId="0" fillId="0" borderId="11" xfId="0" applyNumberFormat="1" applyBorder="1" applyAlignment="1">
      <alignment horizontal="center"/>
    </xf>
    <xf numFmtId="0" fontId="41" fillId="39" borderId="24" xfId="33" applyFont="1" applyFill="1" applyBorder="1" applyAlignment="1">
      <alignment horizontal="left"/>
    </xf>
    <xf numFmtId="0" fontId="41" fillId="39" borderId="0" xfId="33" applyFont="1" applyFill="1" applyBorder="1" applyAlignment="1">
      <alignment horizontal="left"/>
    </xf>
    <xf numFmtId="0" fontId="0" fillId="0" borderId="0" xfId="0" applyFont="1" applyFill="1" applyBorder="1" applyAlignment="1" applyProtection="1">
      <alignment/>
      <protection locked="0"/>
    </xf>
    <xf numFmtId="43" fontId="0" fillId="0" borderId="0" xfId="0" applyNumberFormat="1" applyAlignment="1">
      <alignment/>
    </xf>
    <xf numFmtId="0" fontId="3" fillId="36" borderId="0" xfId="57" applyFont="1" applyFill="1" applyAlignment="1">
      <alignment horizontal="center"/>
      <protection/>
    </xf>
    <xf numFmtId="0" fontId="3" fillId="0" borderId="0" xfId="57" applyAlignment="1">
      <alignment horizontal="center"/>
      <protection/>
    </xf>
    <xf numFmtId="0" fontId="61" fillId="0" borderId="3" xfId="49" applyFont="1" applyAlignment="1" applyProtection="1">
      <alignment horizontal="left" wrapText="1"/>
      <protection locked="0"/>
    </xf>
    <xf numFmtId="0" fontId="62" fillId="36" borderId="10" xfId="50" applyFont="1" applyFill="1" applyBorder="1" applyAlignment="1">
      <alignment horizontal="left"/>
    </xf>
    <xf numFmtId="0" fontId="0" fillId="0" borderId="11" xfId="0" applyBorder="1" applyAlignment="1" applyProtection="1">
      <alignment horizontal="center"/>
      <protection locked="0"/>
    </xf>
    <xf numFmtId="0" fontId="38" fillId="0" borderId="10" xfId="49" applyFont="1" applyBorder="1" applyAlignment="1" applyProtection="1">
      <alignment horizontal="left" wrapText="1"/>
      <protection locked="0"/>
    </xf>
    <xf numFmtId="0" fontId="0" fillId="0" borderId="21" xfId="0" applyFont="1" applyFill="1" applyBorder="1" applyAlignment="1" applyProtection="1">
      <alignment horizontal="left" wrapText="1"/>
      <protection locked="0"/>
    </xf>
    <xf numFmtId="0" fontId="63" fillId="0" borderId="10" xfId="49" applyFont="1" applyBorder="1" applyAlignment="1" applyProtection="1">
      <alignment horizontal="left" wrapText="1"/>
      <protection locked="0"/>
    </xf>
    <xf numFmtId="0" fontId="64" fillId="0" borderId="0" xfId="46" applyFont="1" applyFill="1" applyAlignment="1">
      <alignment horizontal="left" wrapText="1"/>
    </xf>
    <xf numFmtId="0" fontId="0" fillId="32" borderId="0" xfId="0" applyFill="1" applyAlignment="1">
      <alignment/>
    </xf>
    <xf numFmtId="0" fontId="108" fillId="0" borderId="10" xfId="49" applyFont="1" applyBorder="1" applyAlignment="1" applyProtection="1">
      <alignment horizontal="left" wrapText="1"/>
      <protection locked="0"/>
    </xf>
    <xf numFmtId="0" fontId="7" fillId="0" borderId="10" xfId="57" applyFont="1" applyBorder="1" applyAlignment="1">
      <alignment horizontal="left"/>
      <protection/>
    </xf>
    <xf numFmtId="0" fontId="9" fillId="0" borderId="12" xfId="57" applyFont="1" applyBorder="1" applyAlignment="1">
      <alignment horizontal="center"/>
      <protection/>
    </xf>
    <xf numFmtId="0" fontId="9" fillId="0" borderId="27" xfId="57" applyFont="1" applyBorder="1" applyAlignment="1">
      <alignment horizontal="center"/>
      <protection/>
    </xf>
    <xf numFmtId="0" fontId="9" fillId="0" borderId="22" xfId="57" applyFont="1" applyBorder="1" applyAlignment="1">
      <alignment horizontal="center"/>
      <protection/>
    </xf>
    <xf numFmtId="0" fontId="61" fillId="0" borderId="10" xfId="49" applyFont="1" applyBorder="1" applyAlignment="1" applyProtection="1">
      <alignment horizontal="left" wrapText="1"/>
      <protection locked="0"/>
    </xf>
    <xf numFmtId="0" fontId="65" fillId="0" borderId="0" xfId="49" applyFont="1" applyBorder="1" applyAlignment="1" applyProtection="1">
      <alignment horizontal="lef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T3 Daily Feed Cost, All'!Print_Area"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76200</xdr:rowOff>
    </xdr:from>
    <xdr:to>
      <xdr:col>10</xdr:col>
      <xdr:colOff>428625</xdr:colOff>
      <xdr:row>6</xdr:row>
      <xdr:rowOff>180975</xdr:rowOff>
    </xdr:to>
    <xdr:pic>
      <xdr:nvPicPr>
        <xdr:cNvPr id="1" name="Picture 4" descr="01UICALS-metallic.jpg"/>
        <xdr:cNvPicPr preferRelativeResize="1">
          <a:picLocks noChangeAspect="1"/>
        </xdr:cNvPicPr>
      </xdr:nvPicPr>
      <xdr:blipFill>
        <a:blip r:embed="rId1"/>
        <a:stretch>
          <a:fillRect/>
        </a:stretch>
      </xdr:blipFill>
      <xdr:spPr>
        <a:xfrm>
          <a:off x="495300" y="76200"/>
          <a:ext cx="6124575" cy="1247775"/>
        </a:xfrm>
        <a:prstGeom prst="rect">
          <a:avLst/>
        </a:prstGeom>
        <a:noFill/>
        <a:ln w="9525" cmpd="sng">
          <a:noFill/>
        </a:ln>
      </xdr:spPr>
    </xdr:pic>
    <xdr:clientData/>
  </xdr:twoCellAnchor>
  <xdr:twoCellAnchor editAs="oneCell">
    <xdr:from>
      <xdr:col>1</xdr:col>
      <xdr:colOff>276225</xdr:colOff>
      <xdr:row>7</xdr:row>
      <xdr:rowOff>66675</xdr:rowOff>
    </xdr:from>
    <xdr:to>
      <xdr:col>10</xdr:col>
      <xdr:colOff>419100</xdr:colOff>
      <xdr:row>26</xdr:row>
      <xdr:rowOff>180975</xdr:rowOff>
    </xdr:to>
    <xdr:pic>
      <xdr:nvPicPr>
        <xdr:cNvPr id="2" name="Picture 5" descr="Dairy Farm"/>
        <xdr:cNvPicPr preferRelativeResize="1">
          <a:picLocks noChangeAspect="1"/>
        </xdr:cNvPicPr>
      </xdr:nvPicPr>
      <xdr:blipFill>
        <a:blip r:embed="rId2"/>
        <a:stretch>
          <a:fillRect/>
        </a:stretch>
      </xdr:blipFill>
      <xdr:spPr>
        <a:xfrm>
          <a:off x="895350" y="1400175"/>
          <a:ext cx="5715000" cy="3733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114300</xdr:rowOff>
    </xdr:from>
    <xdr:ext cx="6038850" cy="6800850"/>
    <xdr:sp>
      <xdr:nvSpPr>
        <xdr:cNvPr id="1" name="TextBox 1">
          <a:hlinkClick r:id="rId1"/>
        </xdr:cNvPr>
        <xdr:cNvSpPr txBox="1">
          <a:spLocks noChangeArrowheads="1"/>
        </xdr:cNvSpPr>
      </xdr:nvSpPr>
      <xdr:spPr>
        <a:xfrm>
          <a:off x="390525" y="114300"/>
          <a:ext cx="6038850" cy="6800850"/>
        </a:xfrm>
        <a:prstGeom prst="rect">
          <a:avLst/>
        </a:prstGeom>
        <a:no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Background &amp; Assumptions</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Economic costs are used in the University of Idaho costs and returns estimates. All resources are valued based on market price or opportunity cost. This budget represents the average costs and returns per cow associated with a 5,000-cow dairy herd. The rolling 365-day 3.5% fat-corrected milk for the year is 24,127 lb per cow, which is the state</a:t>
          </a:r>
          <a:r>
            <a:rPr lang="en-US" cap="none" sz="1200" b="0" i="0" u="none" baseline="0">
              <a:solidFill>
                <a:srgbClr val="000000"/>
              </a:solidFill>
              <a:latin typeface="Calibri"/>
              <a:ea typeface="Calibri"/>
              <a:cs typeface="Calibri"/>
            </a:rPr>
            <a:t> average for 2014</a:t>
          </a:r>
          <a:r>
            <a:rPr lang="en-US" cap="none" sz="1200" b="0" i="0" u="none" baseline="0">
              <a:solidFill>
                <a:srgbClr val="000000"/>
              </a:solidFill>
              <a:latin typeface="Calibri"/>
              <a:ea typeface="Calibri"/>
              <a:cs typeface="Calibri"/>
            </a:rPr>
            <a:t>.  The herd is milked three times a day in two double 36 parallel parlors and kept</a:t>
          </a:r>
          <a:r>
            <a:rPr lang="en-US" cap="none" sz="1200" b="0" i="0" u="none" baseline="0">
              <a:solidFill>
                <a:srgbClr val="000000"/>
              </a:solidFill>
              <a:latin typeface="Calibri"/>
              <a:ea typeface="Calibri"/>
              <a:cs typeface="Calibri"/>
            </a:rPr>
            <a:t> in</a:t>
          </a:r>
          <a:r>
            <a:rPr lang="en-US" cap="none" sz="1200" b="0" i="0" u="none" baseline="0">
              <a:solidFill>
                <a:srgbClr val="000000"/>
              </a:solidFill>
              <a:latin typeface="Calibri"/>
              <a:ea typeface="Calibri"/>
              <a:cs typeface="Calibri"/>
            </a:rPr>
            <a:t> open lots with no additional housing. All pens have lock-type stanchions for herd management. The owner contributes to the daily labor requirement. The $2,421 per lactating cow facility investment (see Capital Cost per head, Table 5) is based on the best estimate of current cost and the average value of each component over its useful life.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Dairy Overview</a:t>
          </a:r>
          <a:r>
            <a:rPr lang="en-US" cap="none" sz="16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Herd Information
</a:t>
          </a:r>
          <a:r>
            <a:rPr lang="en-US" cap="none" sz="1200" b="0" i="0" u="none" baseline="0">
              <a:solidFill>
                <a:srgbClr val="000000"/>
              </a:solidFill>
              <a:latin typeface="Calibri"/>
              <a:ea typeface="Calibri"/>
              <a:cs typeface="Calibri"/>
            </a:rPr>
            <a:t>     The herd consists of 5,000 cows total with 10% dry, 3% close-up</a:t>
          </a:r>
          <a:r>
            <a:rPr lang="en-US" cap="none" sz="1200" b="0" i="0" u="none" baseline="0">
              <a:solidFill>
                <a:srgbClr val="000000"/>
              </a:solidFill>
              <a:latin typeface="Calibri"/>
              <a:ea typeface="Calibri"/>
              <a:cs typeface="Calibri"/>
            </a:rPr>
            <a:t> heifers, 8% close-up cows,  and 6% fresh cows. The remaining cows, </a:t>
          </a:r>
          <a:r>
            <a:rPr lang="en-US" cap="none" sz="1200" b="0" i="0" u="none" baseline="0">
              <a:solidFill>
                <a:srgbClr val="000000"/>
              </a:solidFill>
              <a:latin typeface="Calibri"/>
              <a:ea typeface="Calibri"/>
              <a:cs typeface="Calibri"/>
            </a:rPr>
            <a:t>73% (3650),</a:t>
          </a:r>
          <a:r>
            <a:rPr lang="en-US" cap="none" sz="1200" b="0" i="0" u="none" baseline="0">
              <a:solidFill>
                <a:srgbClr val="000000"/>
              </a:solidFill>
              <a:latin typeface="Calibri"/>
              <a:ea typeface="Calibri"/>
              <a:cs typeface="Calibri"/>
            </a:rPr>
            <a:t> are in the high energy category in terms of feed. </a:t>
          </a:r>
          <a:r>
            <a:rPr lang="en-US" cap="none" sz="1200" b="0" i="0" u="none" baseline="0">
              <a:solidFill>
                <a:srgbClr val="000000"/>
              </a:solidFill>
              <a:latin typeface="Calibri"/>
              <a:ea typeface="Calibri"/>
              <a:cs typeface="Calibri"/>
            </a:rPr>
            <a:t>The herd replacement rate is 40% annually (35% cull loss and 5% mortality) with purchased heifers used as replacements.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herd has a 5% mortality rate on mature cows and an average 13.8-month calving interval. 
</a:t>
          </a:r>
          <a:r>
            <a:rPr lang="en-US" cap="none" sz="1200" b="1" i="0" u="none" baseline="0">
              <a:solidFill>
                <a:srgbClr val="000000"/>
              </a:solidFill>
              <a:latin typeface="Calibri"/>
              <a:ea typeface="Calibri"/>
              <a:cs typeface="Calibri"/>
            </a:rPr>
            <a:t>Labor
</a:t>
          </a:r>
          <a:r>
            <a:rPr lang="en-US" cap="none" sz="1200" b="0" i="0" u="none" baseline="0">
              <a:solidFill>
                <a:srgbClr val="000000"/>
              </a:solidFill>
              <a:latin typeface="Calibri"/>
              <a:ea typeface="Calibri"/>
              <a:cs typeface="Calibri"/>
            </a:rPr>
            <a:t>Labor</a:t>
          </a:r>
          <a:r>
            <a:rPr lang="en-US" cap="none" sz="1200" b="0" i="0" u="none" baseline="0">
              <a:solidFill>
                <a:srgbClr val="000000"/>
              </a:solidFill>
              <a:latin typeface="Calibri"/>
              <a:ea typeface="Calibri"/>
              <a:cs typeface="Calibri"/>
            </a:rPr>
            <a:t> requirements per day and per year, both hired and owner labor, are listed in Table 1 below. </a:t>
          </a:r>
          <a:r>
            <a:rPr lang="en-US" cap="none" sz="1200" b="0" i="0" u="none" baseline="0">
              <a:solidFill>
                <a:srgbClr val="000000"/>
              </a:solidFill>
              <a:latin typeface="Calibri"/>
              <a:ea typeface="Calibri"/>
              <a:cs typeface="Calibri"/>
            </a:rPr>
            <a:t>All milking labor is hired (100 hours/day) and includes all cleanup. Feeding labor is hired (24 hours/day for feeding plus creating</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rations). Facility management labor is split between hired (32 hours/day) and owner (3 hours/day). Herd management labor is also split between the herd manager plus hired labor (32 hours/day) and the herd owner (2.5 hours/day). Manure is managed in open lots and removed twice a year by a custom operator. Feed lanes are scraped once or twice daily.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Feeds
</a:t>
          </a:r>
          <a:r>
            <a:rPr lang="en-US" cap="none" sz="1200" b="0" i="0" u="none" baseline="0">
              <a:solidFill>
                <a:srgbClr val="000000"/>
              </a:solidFill>
              <a:latin typeface="Calibri"/>
              <a:ea typeface="Calibri"/>
              <a:cs typeface="Calibri"/>
            </a:rPr>
            <a:t>      Total Mixed Rations (TMR) are combined with alfalfa using a vertical mixer. A base commodity mix is fed to all cows. In addition, the milking herd receives a supplement mix. These two blends are developed by a consultant who creates rations based on current relative feed costs and cattle nutrient needs specific to the requirements of each group of cows. A representative daily feed ration would consist of hay, grain, and other supplements as shown in Table 2 and Table 3. Average total feed cost per cow for the whole herd is $5.18 per day while average total feed cost per lactating cow is $6.70 per day.
</a:t>
          </a:r>
          <a:r>
            <a:rPr lang="en-US" cap="none" sz="1200" b="1" i="0" u="none" baseline="0">
              <a:solidFill>
                <a:srgbClr val="000000"/>
              </a:solidFill>
              <a:latin typeface="Calibri"/>
              <a:ea typeface="Calibri"/>
              <a:cs typeface="Calibri"/>
            </a:rPr>
            <a:t>Herd Health
</a:t>
          </a:r>
          <a:r>
            <a:rPr lang="en-US" cap="none" sz="1200" b="0" i="0" u="none" baseline="0">
              <a:solidFill>
                <a:srgbClr val="000000"/>
              </a:solidFill>
              <a:latin typeface="Calibri"/>
              <a:ea typeface="Calibri"/>
              <a:cs typeface="Calibri"/>
            </a:rPr>
            <a:t>     Artificial insemination (AI) is used for breeding. Breeding, testing, veterinary services, and medicine are included in the annual veterinary services charge.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190500</xdr:rowOff>
    </xdr:from>
    <xdr:to>
      <xdr:col>2</xdr:col>
      <xdr:colOff>161925</xdr:colOff>
      <xdr:row>73</xdr:row>
      <xdr:rowOff>76200</xdr:rowOff>
    </xdr:to>
    <xdr:pic>
      <xdr:nvPicPr>
        <xdr:cNvPr id="1" name="Picture 1"/>
        <xdr:cNvPicPr preferRelativeResize="1">
          <a:picLocks noChangeAspect="1"/>
        </xdr:cNvPicPr>
      </xdr:nvPicPr>
      <xdr:blipFill>
        <a:blip r:embed="rId1"/>
        <a:stretch>
          <a:fillRect/>
        </a:stretch>
      </xdr:blipFill>
      <xdr:spPr>
        <a:xfrm>
          <a:off x="0" y="11639550"/>
          <a:ext cx="2324100" cy="1409700"/>
        </a:xfrm>
        <a:prstGeom prst="rect">
          <a:avLst/>
        </a:prstGeom>
        <a:noFill/>
        <a:ln w="9525" cmpd="sng">
          <a:noFill/>
        </a:ln>
      </xdr:spPr>
    </xdr:pic>
    <xdr:clientData/>
  </xdr:twoCellAnchor>
</xdr:wsDr>
</file>

<file path=xl/tables/table1.xml><?xml version="1.0" encoding="utf-8"?>
<table xmlns="http://schemas.openxmlformats.org/spreadsheetml/2006/main" id="2" name="Table2" displayName="Table2" ref="A49:N68" comment="" totalsRowShown="0">
  <autoFilter ref="A49:N68"/>
  <tableColumns count="14">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painter@uidaho.edu" TargetMode="External" /><Relationship Id="rId2" Type="http://schemas.openxmlformats.org/officeDocument/2006/relationships/hyperlink" Target="http://web.cals.uidaho.edu/idahoagbiz/enterprise-budgets/" TargetMode="External" /><Relationship Id="rId3" Type="http://schemas.openxmlformats.org/officeDocument/2006/relationships/hyperlink" Target="mailto:rnorell@uidaho.ed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als.uidaho.edu/aers/r_livestock.htm"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9:I44"/>
  <sheetViews>
    <sheetView tabSelected="1" zoomScalePageLayoutView="0" workbookViewId="0" topLeftCell="A37">
      <selection activeCell="B40" sqref="B40"/>
    </sheetView>
  </sheetViews>
  <sheetFormatPr defaultColWidth="9.28125" defaultRowHeight="15"/>
  <cols>
    <col min="1" max="16384" width="9.28125" style="35" customWidth="1"/>
  </cols>
  <sheetData>
    <row r="9" ht="15">
      <c r="C9"/>
    </row>
    <row r="13" ht="15">
      <c r="F13"/>
    </row>
    <row r="24" ht="15">
      <c r="C24" s="35" t="s">
        <v>266</v>
      </c>
    </row>
    <row r="28" ht="14.25">
      <c r="C28" s="35" t="s">
        <v>267</v>
      </c>
    </row>
    <row r="29" s="363" customFormat="1" ht="14.25"/>
    <row r="30" s="363" customFormat="1" ht="14.25"/>
    <row r="31" spans="3:6" ht="19.5">
      <c r="C31" s="363"/>
      <c r="D31" s="50"/>
      <c r="F31" s="182" t="s">
        <v>241</v>
      </c>
    </row>
    <row r="32" spans="3:6" ht="19.5">
      <c r="C32" s="363"/>
      <c r="F32" s="182" t="s">
        <v>242</v>
      </c>
    </row>
    <row r="33" spans="3:6" ht="19.5">
      <c r="C33" s="363"/>
      <c r="F33" s="182"/>
    </row>
    <row r="34" spans="3:9" s="363" customFormat="1" ht="14.25">
      <c r="C34" s="48"/>
      <c r="D34" s="48"/>
      <c r="F34" s="49" t="s">
        <v>107</v>
      </c>
      <c r="G34" s="48"/>
      <c r="H34" s="48"/>
      <c r="I34" s="48"/>
    </row>
    <row r="35" spans="3:9" s="363" customFormat="1" ht="14.25">
      <c r="C35" s="48"/>
      <c r="D35" s="48"/>
      <c r="F35" s="49" t="s">
        <v>279</v>
      </c>
      <c r="G35" s="48"/>
      <c r="H35" s="48"/>
      <c r="I35" s="48"/>
    </row>
    <row r="36" spans="3:9" s="363" customFormat="1" ht="15">
      <c r="C36" s="48"/>
      <c r="D36" s="48"/>
      <c r="F36" s="49" t="s">
        <v>280</v>
      </c>
      <c r="G36" s="48"/>
      <c r="H36" s="48"/>
      <c r="I36" s="48"/>
    </row>
    <row r="37" spans="3:9" s="363" customFormat="1" ht="14.25">
      <c r="C37" s="48"/>
      <c r="D37" s="48"/>
      <c r="E37" s="48"/>
      <c r="F37" s="48"/>
      <c r="G37" s="48"/>
      <c r="H37" s="48"/>
      <c r="I37" s="48"/>
    </row>
    <row r="38" s="363" customFormat="1" ht="14.25"/>
    <row r="39" spans="3:9" s="363" customFormat="1" ht="14.25">
      <c r="C39" s="417" t="s">
        <v>106</v>
      </c>
      <c r="D39" s="418"/>
      <c r="E39" s="418"/>
      <c r="F39" s="418"/>
      <c r="G39" s="418"/>
      <c r="H39" s="418"/>
      <c r="I39" s="418"/>
    </row>
    <row r="40" s="363" customFormat="1" ht="14.25">
      <c r="D40" s="365" t="s">
        <v>202</v>
      </c>
    </row>
    <row r="41" s="363" customFormat="1" ht="16.5">
      <c r="C41" s="363" t="s">
        <v>281</v>
      </c>
    </row>
    <row r="42" s="363" customFormat="1" ht="14.25">
      <c r="C42" s="363" t="s">
        <v>282</v>
      </c>
    </row>
    <row r="43" spans="3:8" s="363" customFormat="1" ht="14.25">
      <c r="C43" s="365" t="s">
        <v>105</v>
      </c>
      <c r="F43" s="363" t="s">
        <v>226</v>
      </c>
      <c r="H43" s="363" t="s">
        <v>108</v>
      </c>
    </row>
    <row r="44" spans="3:8" s="363" customFormat="1" ht="14.25">
      <c r="C44" s="365" t="s">
        <v>283</v>
      </c>
      <c r="F44" s="363" t="s">
        <v>284</v>
      </c>
      <c r="H44" s="363" t="s">
        <v>285</v>
      </c>
    </row>
  </sheetData>
  <sheetProtection/>
  <mergeCells count="1">
    <mergeCell ref="C39:I39"/>
  </mergeCells>
  <hyperlinks>
    <hyperlink ref="C43" r:id="rId1" display="kpainter@uidaho.edu"/>
    <hyperlink ref="D40" r:id="rId2" display="http://web.cals.uidaho.edu/idahoagbiz/enterprise-budgets/"/>
    <hyperlink ref="C44" r:id="rId3" display="rnorell@uidaho.edu"/>
  </hyperlinks>
  <printOptions/>
  <pageMargins left="0.7" right="0.7" top="0.75" bottom="0.75" header="0.3" footer="0.3"/>
  <pageSetup fitToHeight="1" fitToWidth="1" horizontalDpi="600" verticalDpi="600" orientation="portrait" scale="8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BZ18"/>
  <sheetViews>
    <sheetView zoomScalePageLayoutView="0" workbookViewId="0" topLeftCell="A1">
      <selection activeCell="C2" sqref="C2"/>
    </sheetView>
  </sheetViews>
  <sheetFormatPr defaultColWidth="9.140625" defaultRowHeight="15"/>
  <cols>
    <col min="1" max="1" width="66.28125" style="0" customWidth="1"/>
    <col min="2" max="2" width="18.421875" style="0" customWidth="1"/>
    <col min="3" max="4" width="11.57421875" style="0" customWidth="1"/>
    <col min="5" max="5" width="11.57421875" style="21" customWidth="1"/>
    <col min="6" max="6" width="13.00390625" style="0" customWidth="1"/>
    <col min="7" max="7" width="13.7109375" style="0" customWidth="1"/>
    <col min="8" max="8" width="13.7109375" style="21" customWidth="1"/>
    <col min="9" max="9" width="11.421875" style="0" customWidth="1"/>
    <col min="10" max="10" width="10.57421875" style="0" customWidth="1"/>
    <col min="11" max="11" width="18.57421875" style="0" customWidth="1"/>
    <col min="12" max="12" width="25.28125" style="0" customWidth="1"/>
  </cols>
  <sheetData>
    <row r="1" spans="1:2" s="46" customFormat="1" ht="41.25" customHeight="1" thickBot="1">
      <c r="A1" s="419" t="s">
        <v>238</v>
      </c>
      <c r="B1" s="419"/>
    </row>
    <row r="2" spans="1:2" s="47" customFormat="1" ht="36" customHeight="1" thickTop="1">
      <c r="A2" s="52"/>
      <c r="B2" s="183" t="s">
        <v>239</v>
      </c>
    </row>
    <row r="3" spans="1:2" s="46" customFormat="1" ht="30" customHeight="1">
      <c r="A3" s="225" t="s">
        <v>71</v>
      </c>
      <c r="B3" s="405">
        <v>241.27</v>
      </c>
    </row>
    <row r="4" spans="1:2" s="46" customFormat="1" ht="30" customHeight="1">
      <c r="A4" s="225" t="s">
        <v>250</v>
      </c>
      <c r="B4" s="226">
        <v>22.45</v>
      </c>
    </row>
    <row r="5" spans="1:2" s="46" customFormat="1" ht="9.75" customHeight="1">
      <c r="A5" s="224"/>
      <c r="B5" s="227"/>
    </row>
    <row r="6" spans="1:2" s="46" customFormat="1" ht="30" customHeight="1">
      <c r="A6" s="225" t="s">
        <v>164</v>
      </c>
      <c r="B6" s="228">
        <f>'T4 Costs &amp; Returns'!M9</f>
        <v>5416.5115</v>
      </c>
    </row>
    <row r="7" spans="1:2" s="46" customFormat="1" ht="30" customHeight="1">
      <c r="A7" s="225" t="s">
        <v>165</v>
      </c>
      <c r="B7" s="228">
        <f>'T4 Costs &amp; Returns'!M8</f>
        <v>6019.961499999999</v>
      </c>
    </row>
    <row r="8" spans="1:2" s="46" customFormat="1" ht="9.75" customHeight="1">
      <c r="A8" s="224"/>
      <c r="B8" s="227"/>
    </row>
    <row r="9" spans="1:2" s="46" customFormat="1" ht="30" customHeight="1">
      <c r="A9" s="225" t="s">
        <v>166</v>
      </c>
      <c r="B9" s="228">
        <f>'T4 Costs &amp; Returns'!M16</f>
        <v>2231.492658018461</v>
      </c>
    </row>
    <row r="10" spans="1:2" s="46" customFormat="1" ht="30" customHeight="1">
      <c r="A10" s="225" t="s">
        <v>167</v>
      </c>
      <c r="B10" s="228">
        <f>'T4 Costs &amp; Returns'!M56</f>
        <v>3723.492658018461</v>
      </c>
    </row>
    <row r="11" spans="1:2" s="46" customFormat="1" ht="30" customHeight="1">
      <c r="A11" s="225" t="s">
        <v>168</v>
      </c>
      <c r="B11" s="228">
        <f>'T4 Costs &amp; Returns'!M67</f>
        <v>587.2416631108458</v>
      </c>
    </row>
    <row r="12" spans="1:2" s="46" customFormat="1" ht="30" customHeight="1">
      <c r="A12" s="225" t="s">
        <v>169</v>
      </c>
      <c r="B12" s="228">
        <f>B10+B11</f>
        <v>4310.734321129306</v>
      </c>
    </row>
    <row r="13" spans="1:2" s="46" customFormat="1" ht="9.75" customHeight="1">
      <c r="A13" s="224"/>
      <c r="B13" s="227"/>
    </row>
    <row r="14" spans="1:2" s="46" customFormat="1" ht="30" customHeight="1">
      <c r="A14" s="225" t="s">
        <v>170</v>
      </c>
      <c r="B14" s="228">
        <f>+B7-B10</f>
        <v>2296.4688419815384</v>
      </c>
    </row>
    <row r="15" spans="1:2" s="46" customFormat="1" ht="30" customHeight="1">
      <c r="A15" s="225" t="s">
        <v>171</v>
      </c>
      <c r="B15" s="228">
        <f>B7-B12</f>
        <v>1709.227178870693</v>
      </c>
    </row>
    <row r="16" spans="1:4" s="46" customFormat="1" ht="14.25">
      <c r="A16" s="223" t="s">
        <v>201</v>
      </c>
      <c r="B16" s="223"/>
      <c r="C16" s="223"/>
      <c r="D16" s="223"/>
    </row>
    <row r="17" spans="1:78" s="363" customFormat="1" ht="14.25">
      <c r="A17" s="379" t="s">
        <v>202</v>
      </c>
      <c r="B17" s="372"/>
      <c r="D17" s="352"/>
      <c r="E17" s="352"/>
      <c r="F17" s="352"/>
      <c r="G17" s="35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row>
    <row r="18" ht="14.25">
      <c r="A18" s="53"/>
    </row>
  </sheetData>
  <sheetProtection/>
  <mergeCells count="1">
    <mergeCell ref="A1:B1"/>
  </mergeCells>
  <printOptions/>
  <pageMargins left="0.7" right="0.7" top="0.75" bottom="0.75" header="0.3" footer="0.3"/>
  <pageSetup fitToHeight="1" fitToWidth="1" horizontalDpi="600" verticalDpi="600" orientation="portrait" r:id="rId3"/>
  <headerFoot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1:M61"/>
  <sheetViews>
    <sheetView zoomScale="90" zoomScaleNormal="90" zoomScalePageLayoutView="0" workbookViewId="0" topLeftCell="A23">
      <selection activeCell="K12" sqref="K12"/>
    </sheetView>
  </sheetViews>
  <sheetFormatPr defaultColWidth="9.28125" defaultRowHeight="15"/>
  <cols>
    <col min="1" max="1" width="9.28125" style="363" customWidth="1"/>
    <col min="2" max="2" width="24.00390625" style="363" customWidth="1"/>
    <col min="3" max="13" width="9.28125" style="363" customWidth="1"/>
    <col min="14" max="16384" width="9.28125" style="363"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c r="M31" s="363" t="s">
        <v>227</v>
      </c>
    </row>
    <row r="32" ht="15"/>
    <row r="33" ht="15"/>
    <row r="34" ht="15"/>
    <row r="35" ht="15"/>
    <row r="36" ht="15"/>
    <row r="37" ht="15"/>
    <row r="39" spans="2:7" ht="16.5">
      <c r="B39" s="420" t="s">
        <v>254</v>
      </c>
      <c r="C39" s="420"/>
      <c r="D39" s="420"/>
      <c r="E39" s="420"/>
      <c r="F39" s="420"/>
      <c r="G39" s="420"/>
    </row>
    <row r="40" spans="2:7" ht="14.25">
      <c r="B40" s="394"/>
      <c r="C40" s="414" t="s">
        <v>260</v>
      </c>
      <c r="D40" s="395"/>
      <c r="E40" s="413" t="s">
        <v>263</v>
      </c>
      <c r="F40" s="394"/>
      <c r="G40" s="395"/>
    </row>
    <row r="41" spans="2:7" ht="14.25">
      <c r="B41" s="397"/>
      <c r="C41" s="398" t="s">
        <v>261</v>
      </c>
      <c r="D41" s="398" t="s">
        <v>262</v>
      </c>
      <c r="E41" s="399" t="s">
        <v>261</v>
      </c>
      <c r="F41" s="397" t="s">
        <v>262</v>
      </c>
      <c r="G41" s="398" t="s">
        <v>123</v>
      </c>
    </row>
    <row r="42" spans="2:7" ht="14.25">
      <c r="B42" s="411" t="s">
        <v>255</v>
      </c>
      <c r="C42" s="412">
        <v>100</v>
      </c>
      <c r="D42" s="412">
        <v>0</v>
      </c>
      <c r="E42" s="412">
        <v>7.3</v>
      </c>
      <c r="F42" s="412">
        <v>0</v>
      </c>
      <c r="G42" s="412">
        <f aca="true" t="shared" si="0" ref="G42:G47">SUM(E42:F42)</f>
        <v>7.3</v>
      </c>
    </row>
    <row r="43" spans="2:7" ht="14.25">
      <c r="B43" s="411" t="s">
        <v>256</v>
      </c>
      <c r="C43" s="412">
        <v>24</v>
      </c>
      <c r="D43" s="412">
        <v>0</v>
      </c>
      <c r="E43" s="412">
        <v>1.3</v>
      </c>
      <c r="F43" s="412">
        <v>0</v>
      </c>
      <c r="G43" s="412">
        <f t="shared" si="0"/>
        <v>1.3</v>
      </c>
    </row>
    <row r="44" spans="2:7" ht="14.25">
      <c r="B44" s="411" t="s">
        <v>257</v>
      </c>
      <c r="C44" s="412">
        <v>32</v>
      </c>
      <c r="D44" s="412">
        <v>3</v>
      </c>
      <c r="E44" s="412">
        <v>2.5</v>
      </c>
      <c r="F44" s="412">
        <v>0.2</v>
      </c>
      <c r="G44" s="412">
        <f t="shared" si="0"/>
        <v>2.7</v>
      </c>
    </row>
    <row r="45" spans="2:7" ht="14.25">
      <c r="B45" s="411" t="s">
        <v>258</v>
      </c>
      <c r="C45" s="412">
        <v>32</v>
      </c>
      <c r="D45" s="412">
        <v>2.5</v>
      </c>
      <c r="E45" s="412">
        <v>2.5</v>
      </c>
      <c r="F45" s="412">
        <v>0.2</v>
      </c>
      <c r="G45" s="412">
        <f t="shared" si="0"/>
        <v>2.7</v>
      </c>
    </row>
    <row r="46" spans="2:7" ht="14.25">
      <c r="B46" s="411" t="s">
        <v>259</v>
      </c>
      <c r="C46" s="412">
        <v>0</v>
      </c>
      <c r="D46" s="412">
        <v>0</v>
      </c>
      <c r="E46" s="412">
        <v>0</v>
      </c>
      <c r="F46" s="412">
        <v>0</v>
      </c>
      <c r="G46" s="412">
        <f t="shared" si="0"/>
        <v>0</v>
      </c>
    </row>
    <row r="47" spans="2:7" ht="14.25">
      <c r="B47" s="411" t="s">
        <v>123</v>
      </c>
      <c r="C47" s="412">
        <f>SUM(C42:C46)</f>
        <v>188</v>
      </c>
      <c r="D47" s="412">
        <f>SUM(D42:D46)</f>
        <v>5.5</v>
      </c>
      <c r="E47" s="412">
        <f>SUM(E42:E46)</f>
        <v>13.6</v>
      </c>
      <c r="F47" s="412">
        <f>SUM(F42:F46)</f>
        <v>0.4</v>
      </c>
      <c r="G47" s="412">
        <f t="shared" si="0"/>
        <v>14</v>
      </c>
    </row>
    <row r="61" ht="14.25">
      <c r="J61" s="363" t="s">
        <v>240</v>
      </c>
    </row>
  </sheetData>
  <sheetProtection/>
  <mergeCells count="1">
    <mergeCell ref="B39:G39"/>
  </mergeCells>
  <printOptions/>
  <pageMargins left="0.7" right="0.7" top="0.75" bottom="0.75" header="0.3" footer="0.3"/>
  <pageSetup fitToHeight="1" fitToWidth="1" horizontalDpi="600" verticalDpi="600" orientation="portrait" scale="77" r:id="rId2"/>
  <headerFooter>
    <oddFooter>&amp;L&amp;A&amp;C&amp;F&amp;R&amp;D</oddFooter>
  </headerFooter>
  <rowBreaks count="1" manualBreakCount="1">
    <brk id="50" max="10"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1">
      <selection activeCell="C9" sqref="C9"/>
    </sheetView>
  </sheetViews>
  <sheetFormatPr defaultColWidth="9.140625" defaultRowHeight="15"/>
  <cols>
    <col min="1" max="1" width="33.57421875" style="352" customWidth="1"/>
    <col min="2" max="2" width="9.57421875" style="352" customWidth="1"/>
    <col min="3" max="3" width="9.28125" style="352" customWidth="1"/>
    <col min="4" max="4" width="9.57421875" style="352" customWidth="1"/>
    <col min="5" max="16384" width="8.7109375" style="352" customWidth="1"/>
  </cols>
  <sheetData>
    <row r="1" spans="1:17" ht="15.75" customHeight="1">
      <c r="A1" s="422" t="s">
        <v>274</v>
      </c>
      <c r="B1" s="422"/>
      <c r="C1" s="422"/>
      <c r="D1" s="422"/>
      <c r="E1" s="393"/>
      <c r="F1" s="393"/>
      <c r="G1" s="393"/>
      <c r="H1" s="393"/>
      <c r="I1" s="393"/>
      <c r="J1" s="393"/>
      <c r="K1" s="393"/>
      <c r="L1" s="393"/>
      <c r="M1" s="393"/>
      <c r="N1" s="393"/>
      <c r="O1" s="393"/>
      <c r="P1" s="393"/>
      <c r="Q1" s="393"/>
    </row>
    <row r="2" spans="1:4" ht="14.25">
      <c r="A2" s="394"/>
      <c r="B2" s="395" t="s">
        <v>0</v>
      </c>
      <c r="C2" s="395" t="s">
        <v>265</v>
      </c>
      <c r="D2" s="396" t="s">
        <v>5</v>
      </c>
    </row>
    <row r="3" spans="1:4" ht="14.25">
      <c r="A3" s="397" t="s">
        <v>230</v>
      </c>
      <c r="B3" s="398" t="s">
        <v>231</v>
      </c>
      <c r="C3" s="398" t="s">
        <v>232</v>
      </c>
      <c r="D3" s="399" t="s">
        <v>233</v>
      </c>
    </row>
    <row r="4" spans="1:4" ht="14.25">
      <c r="A4" s="283" t="s">
        <v>210</v>
      </c>
      <c r="B4" s="390">
        <v>11.698463508322662</v>
      </c>
      <c r="C4" s="391">
        <f>235/20</f>
        <v>11.75</v>
      </c>
      <c r="D4" s="391">
        <f>C4*B4/100</f>
        <v>1.374569462227913</v>
      </c>
    </row>
    <row r="5" spans="1:4" ht="14.25">
      <c r="A5" s="283" t="s">
        <v>234</v>
      </c>
      <c r="B5" s="390">
        <v>3.5563700384122923</v>
      </c>
      <c r="C5" s="391">
        <f>200/20</f>
        <v>10</v>
      </c>
      <c r="D5" s="391">
        <f aca="true" t="shared" si="0" ref="D5:D24">C5*B5/100</f>
        <v>0.35563700384122926</v>
      </c>
    </row>
    <row r="6" spans="1:4" ht="14.25">
      <c r="A6" s="283" t="s">
        <v>51</v>
      </c>
      <c r="B6" s="390">
        <v>0.3457959880495092</v>
      </c>
      <c r="C6" s="391">
        <f>56/20</f>
        <v>2.8</v>
      </c>
      <c r="D6" s="391">
        <f t="shared" si="0"/>
        <v>0.009682287665386256</v>
      </c>
    </row>
    <row r="7" spans="1:4" ht="14.25">
      <c r="A7" s="283" t="s">
        <v>220</v>
      </c>
      <c r="B7" s="390">
        <v>3.4816901408450702</v>
      </c>
      <c r="C7" s="391">
        <f>36/20</f>
        <v>1.8</v>
      </c>
      <c r="D7" s="391">
        <f t="shared" si="0"/>
        <v>0.06267042253521127</v>
      </c>
    </row>
    <row r="8" spans="1:4" ht="14.25">
      <c r="A8" s="283" t="s">
        <v>209</v>
      </c>
      <c r="B8" s="390">
        <v>4.460915492957747</v>
      </c>
      <c r="C8" s="391">
        <f>61/20</f>
        <v>3.05</v>
      </c>
      <c r="D8" s="391">
        <f t="shared" si="0"/>
        <v>0.13605792253521126</v>
      </c>
    </row>
    <row r="9" spans="1:4" ht="14.25">
      <c r="A9" s="283" t="s">
        <v>277</v>
      </c>
      <c r="B9" s="390">
        <v>31.430601792573622</v>
      </c>
      <c r="C9" s="391">
        <f>45/20</f>
        <v>2.25</v>
      </c>
      <c r="D9" s="391">
        <f>C9*B9/100</f>
        <v>0.7071885403329066</v>
      </c>
    </row>
    <row r="10" spans="1:4" ht="14.25">
      <c r="A10" s="283" t="s">
        <v>278</v>
      </c>
      <c r="B10" s="390">
        <v>7.61619718309859</v>
      </c>
      <c r="C10" s="391">
        <f>70/20</f>
        <v>3.5</v>
      </c>
      <c r="D10" s="391">
        <f>C10*B10/100</f>
        <v>0.26656690140845063</v>
      </c>
    </row>
    <row r="11" spans="1:4" ht="14.25">
      <c r="A11" s="283" t="s">
        <v>216</v>
      </c>
      <c r="B11" s="390">
        <v>0.9943982074263764</v>
      </c>
      <c r="C11" s="391">
        <f>182/20</f>
        <v>9.1</v>
      </c>
      <c r="D11" s="391">
        <f t="shared" si="0"/>
        <v>0.09049023687580025</v>
      </c>
    </row>
    <row r="12" spans="1:4" ht="14.25">
      <c r="A12" s="283" t="s">
        <v>215</v>
      </c>
      <c r="B12" s="390">
        <v>9.494648954332053</v>
      </c>
      <c r="C12" s="391">
        <f>190/20</f>
        <v>9.5</v>
      </c>
      <c r="D12" s="391">
        <f t="shared" si="0"/>
        <v>0.9019916506615451</v>
      </c>
    </row>
    <row r="13" spans="1:4" ht="14.25">
      <c r="A13" s="283" t="s">
        <v>52</v>
      </c>
      <c r="B13" s="390">
        <v>1.4507042253521127</v>
      </c>
      <c r="C13" s="391">
        <f>155/20</f>
        <v>7.75</v>
      </c>
      <c r="D13" s="391">
        <f t="shared" si="0"/>
        <v>0.11242957746478874</v>
      </c>
    </row>
    <row r="14" spans="1:4" ht="14.25">
      <c r="A14" s="283" t="s">
        <v>221</v>
      </c>
      <c r="B14" s="390">
        <v>1.5413732394366197</v>
      </c>
      <c r="C14" s="391">
        <f>275/20</f>
        <v>13.75</v>
      </c>
      <c r="D14" s="391">
        <f t="shared" si="0"/>
        <v>0.2119388204225352</v>
      </c>
    </row>
    <row r="15" spans="1:4" ht="14.25">
      <c r="A15" s="283" t="s">
        <v>217</v>
      </c>
      <c r="B15" s="390">
        <v>1.8007042253521128</v>
      </c>
      <c r="C15" s="391">
        <f>240/20</f>
        <v>12</v>
      </c>
      <c r="D15" s="391">
        <f t="shared" si="0"/>
        <v>0.21608450704225354</v>
      </c>
    </row>
    <row r="16" spans="1:4" ht="14.25">
      <c r="A16" s="283" t="s">
        <v>53</v>
      </c>
      <c r="B16" s="390">
        <v>1.809282970550576</v>
      </c>
      <c r="C16" s="391">
        <f>190/20</f>
        <v>9.5</v>
      </c>
      <c r="D16" s="391">
        <f t="shared" si="0"/>
        <v>0.17188188220230471</v>
      </c>
    </row>
    <row r="17" spans="1:4" ht="14.25">
      <c r="A17" s="283" t="s">
        <v>54</v>
      </c>
      <c r="B17" s="390">
        <v>3.6072449850618873</v>
      </c>
      <c r="C17" s="391">
        <f>360/20</f>
        <v>18</v>
      </c>
      <c r="D17" s="391">
        <f t="shared" si="0"/>
        <v>0.6493040973111397</v>
      </c>
    </row>
    <row r="18" spans="1:4" ht="14.25">
      <c r="A18" s="283" t="s">
        <v>55</v>
      </c>
      <c r="B18" s="390">
        <v>1.4355441741357235</v>
      </c>
      <c r="C18" s="391">
        <f>283/20</f>
        <v>14.15</v>
      </c>
      <c r="D18" s="391">
        <f t="shared" si="0"/>
        <v>0.20312950064020488</v>
      </c>
    </row>
    <row r="19" spans="1:4" ht="14.25">
      <c r="A19" s="283" t="s">
        <v>218</v>
      </c>
      <c r="B19" s="390">
        <v>0.35159731113956466</v>
      </c>
      <c r="C19" s="391">
        <f>1340/20</f>
        <v>67</v>
      </c>
      <c r="D19" s="391">
        <f t="shared" si="0"/>
        <v>0.23557019846350832</v>
      </c>
    </row>
    <row r="20" spans="1:4" ht="14.25">
      <c r="A20" s="283" t="s">
        <v>244</v>
      </c>
      <c r="B20" s="390">
        <v>0.4918907383696116</v>
      </c>
      <c r="C20" s="391">
        <f>170/20</f>
        <v>8.5</v>
      </c>
      <c r="D20" s="391">
        <f t="shared" si="0"/>
        <v>0.04181071276141699</v>
      </c>
    </row>
    <row r="21" spans="1:4" ht="14.25">
      <c r="A21" s="283" t="s">
        <v>270</v>
      </c>
      <c r="B21" s="390">
        <v>0.8885563380281691</v>
      </c>
      <c r="C21" s="391">
        <f>410/20</f>
        <v>20.5</v>
      </c>
      <c r="D21" s="391">
        <f t="shared" si="0"/>
        <v>0.18215404929577467</v>
      </c>
    </row>
    <row r="22" spans="1:4" ht="14.25">
      <c r="A22" s="283" t="s">
        <v>271</v>
      </c>
      <c r="B22" s="390">
        <v>0.0882842509603073</v>
      </c>
      <c r="C22" s="391">
        <f>1310/20</f>
        <v>65.5</v>
      </c>
      <c r="D22" s="391">
        <f t="shared" si="0"/>
        <v>0.05782618437900128</v>
      </c>
    </row>
    <row r="23" spans="1:4" ht="14.25">
      <c r="A23" s="283" t="s">
        <v>272</v>
      </c>
      <c r="B23" s="390">
        <v>0.032196969696969696</v>
      </c>
      <c r="C23" s="391">
        <f>1520/20</f>
        <v>76</v>
      </c>
      <c r="D23" s="391">
        <f t="shared" si="0"/>
        <v>0.024469696969696968</v>
      </c>
    </row>
    <row r="24" spans="1:4" ht="14.25">
      <c r="A24" s="283" t="s">
        <v>273</v>
      </c>
      <c r="B24" s="390">
        <v>0.1448997012377294</v>
      </c>
      <c r="C24" s="391">
        <f>1462/20</f>
        <v>73.1</v>
      </c>
      <c r="D24" s="391">
        <f t="shared" si="0"/>
        <v>0.10592168160478019</v>
      </c>
    </row>
    <row r="25" spans="1:4" ht="14.25">
      <c r="A25" s="421" t="s">
        <v>276</v>
      </c>
      <c r="B25" s="421"/>
      <c r="C25" s="421"/>
      <c r="D25" s="391">
        <f>SUM(D4:D24)</f>
        <v>6.117375336641057</v>
      </c>
    </row>
    <row r="26" spans="1:4" ht="28.5" customHeight="1">
      <c r="A26" s="423" t="s">
        <v>275</v>
      </c>
      <c r="B26" s="423"/>
      <c r="C26" s="423"/>
      <c r="D26" s="423"/>
    </row>
    <row r="27" ht="14.25">
      <c r="A27" s="415"/>
    </row>
  </sheetData>
  <sheetProtection/>
  <mergeCells count="3">
    <mergeCell ref="A25:C25"/>
    <mergeCell ref="A1:D1"/>
    <mergeCell ref="A26:D26"/>
  </mergeCells>
  <printOptions horizontalCentered="1"/>
  <pageMargins left="0.7" right="0.7" top="0.75" bottom="0.75" header="0.3" footer="0.3"/>
  <pageSetup fitToHeight="1" fitToWidth="1" horizontalDpi="600" verticalDpi="600" orientation="portrait" r:id="rId1"/>
  <headerFooter>
    <oddFooter>&amp;L&amp;A&amp;C&amp;F&amp;R&amp;D</oddFooter>
  </headerFooter>
</worksheet>
</file>

<file path=xl/worksheets/sheet5.xml><?xml version="1.0" encoding="utf-8"?>
<worksheet xmlns="http://schemas.openxmlformats.org/spreadsheetml/2006/main" xmlns:r="http://schemas.openxmlformats.org/officeDocument/2006/relationships">
  <dimension ref="A1:AG110"/>
  <sheetViews>
    <sheetView zoomScalePageLayoutView="0" workbookViewId="0" topLeftCell="F4">
      <selection activeCell="T20" sqref="T20"/>
    </sheetView>
  </sheetViews>
  <sheetFormatPr defaultColWidth="9.140625" defaultRowHeight="15"/>
  <cols>
    <col min="1" max="1" width="29.421875" style="352" customWidth="1"/>
    <col min="2" max="2" width="2.00390625" style="352" customWidth="1"/>
    <col min="3" max="3" width="10.7109375" style="352" customWidth="1"/>
    <col min="4" max="4" width="2.00390625" style="352" customWidth="1"/>
    <col min="5" max="5" width="8.57421875" style="259" customWidth="1"/>
    <col min="6" max="6" width="1.57421875" style="352" customWidth="1"/>
    <col min="7" max="7" width="10.57421875" style="259" customWidth="1"/>
    <col min="8" max="8" width="1.57421875" style="352" customWidth="1"/>
    <col min="9" max="9" width="12.28125" style="352" customWidth="1"/>
    <col min="10" max="10" width="1.57421875" style="352" customWidth="1"/>
    <col min="11" max="11" width="19.421875" style="258" customWidth="1"/>
    <col min="12" max="12" width="1.57421875" style="352" customWidth="1"/>
    <col min="13" max="13" width="14.7109375" style="258" customWidth="1"/>
    <col min="14" max="14" width="1.57421875" style="352" customWidth="1"/>
    <col min="15" max="15" width="14.28125" style="258" hidden="1" customWidth="1"/>
    <col min="16" max="16" width="1.57421875" style="352" hidden="1" customWidth="1"/>
    <col min="17" max="17" width="11.57421875" style="258" customWidth="1"/>
    <col min="18" max="18" width="1.57421875" style="352" customWidth="1"/>
    <col min="19" max="19" width="20.140625" style="352" customWidth="1"/>
    <col min="20" max="21" width="13.57421875" style="352" bestFit="1" customWidth="1"/>
    <col min="22" max="16384" width="8.7109375" style="352" customWidth="1"/>
  </cols>
  <sheetData>
    <row r="1" spans="1:18" ht="27.75" customHeight="1">
      <c r="A1" s="425" t="s">
        <v>251</v>
      </c>
      <c r="B1" s="425"/>
      <c r="C1" s="425"/>
      <c r="D1" s="425"/>
      <c r="E1" s="425"/>
      <c r="F1" s="425"/>
      <c r="G1" s="425"/>
      <c r="H1" s="425"/>
      <c r="I1" s="425"/>
      <c r="J1" s="425"/>
      <c r="K1" s="425"/>
      <c r="L1" s="425"/>
      <c r="M1" s="425"/>
      <c r="N1" s="425"/>
      <c r="O1" s="425"/>
      <c r="P1" s="425"/>
      <c r="Q1" s="425"/>
      <c r="R1" s="425"/>
    </row>
    <row r="2" spans="1:17" ht="18" customHeight="1">
      <c r="A2" s="26" t="s">
        <v>207</v>
      </c>
      <c r="C2" s="34">
        <v>5000</v>
      </c>
      <c r="E2" s="382"/>
      <c r="F2" s="382"/>
      <c r="G2" s="382"/>
      <c r="I2" s="51">
        <f>MProd</f>
        <v>241.27</v>
      </c>
      <c r="K2" s="184" t="s">
        <v>252</v>
      </c>
      <c r="L2" s="184"/>
      <c r="M2" s="184"/>
      <c r="N2" s="194"/>
      <c r="O2" s="195"/>
      <c r="P2" s="194"/>
      <c r="Q2" s="195"/>
    </row>
    <row r="3" spans="1:18" ht="33.75" customHeight="1">
      <c r="A3" s="424" t="s">
        <v>264</v>
      </c>
      <c r="B3" s="424"/>
      <c r="C3" s="424"/>
      <c r="D3" s="424"/>
      <c r="E3" s="424"/>
      <c r="F3" s="424"/>
      <c r="G3" s="424"/>
      <c r="H3" s="424"/>
      <c r="I3" s="424"/>
      <c r="J3" s="424"/>
      <c r="K3" s="424"/>
      <c r="L3" s="424"/>
      <c r="M3" s="424"/>
      <c r="N3" s="424"/>
      <c r="O3" s="424"/>
      <c r="P3" s="424"/>
      <c r="Q3" s="424"/>
      <c r="R3" s="424"/>
    </row>
    <row r="4" spans="1:18" ht="15.75">
      <c r="A4" s="1"/>
      <c r="B4" s="1"/>
      <c r="C4" s="2" t="s">
        <v>0</v>
      </c>
      <c r="D4" s="1"/>
      <c r="E4" s="4"/>
      <c r="F4" s="3"/>
      <c r="G4" s="4" t="s">
        <v>41</v>
      </c>
      <c r="H4" s="3"/>
      <c r="I4" s="3" t="s">
        <v>1</v>
      </c>
      <c r="J4" s="3"/>
      <c r="K4" s="5" t="s">
        <v>2</v>
      </c>
      <c r="L4" s="6"/>
      <c r="M4" s="5" t="s">
        <v>2</v>
      </c>
      <c r="N4" s="6"/>
      <c r="O4" s="5" t="s">
        <v>2</v>
      </c>
      <c r="P4" s="6"/>
      <c r="Q4" s="5" t="s">
        <v>2</v>
      </c>
      <c r="R4" s="6"/>
    </row>
    <row r="5" spans="1:18" ht="15.75">
      <c r="A5" s="7" t="s">
        <v>3</v>
      </c>
      <c r="B5" s="1"/>
      <c r="C5" s="2" t="s">
        <v>38</v>
      </c>
      <c r="D5" s="1"/>
      <c r="E5" s="4" t="s">
        <v>4</v>
      </c>
      <c r="F5" s="3"/>
      <c r="G5" s="4" t="s">
        <v>42</v>
      </c>
      <c r="H5" s="3"/>
      <c r="I5" s="3" t="s">
        <v>5</v>
      </c>
      <c r="J5" s="3"/>
      <c r="K5" s="5" t="s">
        <v>40</v>
      </c>
      <c r="L5" s="6"/>
      <c r="M5" s="5" t="s">
        <v>57</v>
      </c>
      <c r="N5" s="6"/>
      <c r="O5" s="5" t="s">
        <v>58</v>
      </c>
      <c r="P5" s="6"/>
      <c r="Q5" s="5" t="s">
        <v>47</v>
      </c>
      <c r="R5" s="6"/>
    </row>
    <row r="6" spans="1:18" ht="5.25" customHeight="1">
      <c r="A6" s="8"/>
      <c r="B6" s="9"/>
      <c r="C6" s="9"/>
      <c r="D6" s="9"/>
      <c r="E6" s="10"/>
      <c r="F6" s="9"/>
      <c r="G6" s="10"/>
      <c r="H6" s="9"/>
      <c r="I6" s="9"/>
      <c r="J6" s="9"/>
      <c r="K6" s="11"/>
      <c r="L6" s="12"/>
      <c r="M6" s="11"/>
      <c r="N6" s="12"/>
      <c r="O6" s="11"/>
      <c r="P6" s="12"/>
      <c r="Q6" s="11"/>
      <c r="R6" s="12"/>
    </row>
    <row r="7" spans="1:22" ht="6.75" customHeight="1">
      <c r="A7" s="253"/>
      <c r="B7" s="253"/>
      <c r="C7" s="253"/>
      <c r="D7" s="253"/>
      <c r="E7" s="256"/>
      <c r="F7" s="253"/>
      <c r="G7" s="256"/>
      <c r="H7" s="253"/>
      <c r="I7" s="257"/>
      <c r="J7" s="253"/>
      <c r="K7" s="254"/>
      <c r="L7" s="255"/>
      <c r="M7" s="254"/>
      <c r="N7" s="255"/>
      <c r="O7" s="254"/>
      <c r="P7" s="255"/>
      <c r="Q7" s="18"/>
      <c r="R7" s="255"/>
      <c r="S7" s="22"/>
      <c r="T7" s="22"/>
      <c r="U7" s="22"/>
      <c r="V7" s="22"/>
    </row>
    <row r="8" spans="1:20" ht="15">
      <c r="A8" s="143" t="s">
        <v>208</v>
      </c>
      <c r="B8" s="275"/>
      <c r="C8" s="275"/>
      <c r="D8" s="275"/>
      <c r="E8" s="276"/>
      <c r="F8" s="275"/>
      <c r="G8" s="276"/>
      <c r="H8" s="275"/>
      <c r="I8" s="278"/>
      <c r="J8" s="275"/>
      <c r="K8" s="25">
        <f>SUM(K9:K12)</f>
        <v>30099807.5</v>
      </c>
      <c r="L8" s="280"/>
      <c r="M8" s="25">
        <f>SUM(M9:M12)</f>
        <v>6019.961499999999</v>
      </c>
      <c r="N8" s="28"/>
      <c r="O8" s="24">
        <f>M8/365</f>
        <v>16.49304520547945</v>
      </c>
      <c r="P8" s="28"/>
      <c r="Q8" s="392">
        <f>SUM(Q9:Q12)</f>
        <v>24.95113980188171</v>
      </c>
      <c r="R8" s="28"/>
      <c r="S8" s="409"/>
      <c r="T8" s="381"/>
    </row>
    <row r="9" spans="1:19" ht="15">
      <c r="A9" s="295" t="s">
        <v>177</v>
      </c>
      <c r="B9" s="275"/>
      <c r="C9" s="283">
        <f>MProd</f>
        <v>241.27</v>
      </c>
      <c r="D9" s="275"/>
      <c r="E9" s="281" t="s">
        <v>39</v>
      </c>
      <c r="F9" s="275"/>
      <c r="G9" s="281">
        <f>TotalCows</f>
        <v>5000</v>
      </c>
      <c r="H9" s="275"/>
      <c r="I9" s="137">
        <f>Pmilk</f>
        <v>22.45</v>
      </c>
      <c r="J9" s="275"/>
      <c r="K9" s="231">
        <f>C9*G9*I9</f>
        <v>27082557.5</v>
      </c>
      <c r="L9" s="280"/>
      <c r="M9" s="237">
        <f>I9*C9</f>
        <v>5416.5115</v>
      </c>
      <c r="N9" s="280"/>
      <c r="O9" s="237">
        <f>M9/365</f>
        <v>14.839757534246575</v>
      </c>
      <c r="P9" s="280"/>
      <c r="Q9" s="237">
        <f>K9/MProd/TotalCows</f>
        <v>22.45</v>
      </c>
      <c r="R9" s="280"/>
      <c r="S9" s="409"/>
    </row>
    <row r="10" spans="1:19" ht="15">
      <c r="A10" s="283" t="s">
        <v>174</v>
      </c>
      <c r="B10" s="275"/>
      <c r="C10" s="283">
        <v>0.48</v>
      </c>
      <c r="D10" s="275"/>
      <c r="E10" s="281" t="s">
        <v>46</v>
      </c>
      <c r="F10" s="275"/>
      <c r="G10" s="281">
        <f>TotalCows</f>
        <v>5000</v>
      </c>
      <c r="H10" s="275"/>
      <c r="I10" s="138">
        <v>181</v>
      </c>
      <c r="J10" s="275"/>
      <c r="K10" s="231">
        <f>C10*G10*I10</f>
        <v>434400</v>
      </c>
      <c r="L10" s="280"/>
      <c r="M10" s="237">
        <f>I10*C10</f>
        <v>86.88</v>
      </c>
      <c r="N10" s="280"/>
      <c r="O10" s="237">
        <f>M10/365</f>
        <v>0.23802739726027397</v>
      </c>
      <c r="P10" s="280"/>
      <c r="Q10" s="237">
        <f>K10/MProd/TotalCows</f>
        <v>0.36009449993782894</v>
      </c>
      <c r="R10" s="280"/>
      <c r="S10" s="273"/>
    </row>
    <row r="11" spans="1:19" ht="15">
      <c r="A11" s="283" t="s">
        <v>175</v>
      </c>
      <c r="B11" s="275"/>
      <c r="C11" s="283">
        <v>0.48</v>
      </c>
      <c r="D11" s="275"/>
      <c r="E11" s="281" t="s">
        <v>46</v>
      </c>
      <c r="F11" s="275"/>
      <c r="G11" s="281">
        <f>TotalCows</f>
        <v>5000</v>
      </c>
      <c r="H11" s="275"/>
      <c r="I11" s="138">
        <v>234</v>
      </c>
      <c r="J11" s="275"/>
      <c r="K11" s="231">
        <f>C11*G11*I11</f>
        <v>561600</v>
      </c>
      <c r="L11" s="280"/>
      <c r="M11" s="237">
        <f>I11*C11</f>
        <v>112.32</v>
      </c>
      <c r="N11" s="280"/>
      <c r="O11" s="237">
        <f>M11/365</f>
        <v>0.30772602739726024</v>
      </c>
      <c r="P11" s="280"/>
      <c r="Q11" s="237">
        <f>K11/MProd/TotalCows</f>
        <v>0.4655365358312264</v>
      </c>
      <c r="R11" s="280"/>
      <c r="S11" s="273"/>
    </row>
    <row r="12" spans="1:19" ht="15">
      <c r="A12" s="283" t="s">
        <v>176</v>
      </c>
      <c r="B12" s="275"/>
      <c r="C12" s="133">
        <v>0.35</v>
      </c>
      <c r="D12" s="275"/>
      <c r="E12" s="281" t="s">
        <v>46</v>
      </c>
      <c r="F12" s="275"/>
      <c r="G12" s="281">
        <f>TotalCows</f>
        <v>5000</v>
      </c>
      <c r="H12" s="275"/>
      <c r="I12" s="138">
        <f>1.05*1100</f>
        <v>1155</v>
      </c>
      <c r="J12" s="275"/>
      <c r="K12" s="231">
        <f>C12*G12*I12</f>
        <v>2021250</v>
      </c>
      <c r="L12" s="280"/>
      <c r="M12" s="237">
        <f>I12*C12</f>
        <v>404.25</v>
      </c>
      <c r="N12" s="280"/>
      <c r="O12" s="237">
        <f>M12/365</f>
        <v>1.1075342465753424</v>
      </c>
      <c r="P12" s="280"/>
      <c r="Q12" s="237">
        <f>K12/MProd/TotalCows</f>
        <v>1.6755087661126538</v>
      </c>
      <c r="R12" s="280"/>
      <c r="S12" s="273"/>
    </row>
    <row r="13" spans="1:18" ht="6.75" customHeight="1">
      <c r="A13" s="275"/>
      <c r="B13" s="275"/>
      <c r="C13" s="275"/>
      <c r="D13" s="275"/>
      <c r="E13" s="276"/>
      <c r="F13" s="275"/>
      <c r="G13" s="276"/>
      <c r="H13" s="275"/>
      <c r="I13" s="278"/>
      <c r="J13" s="275"/>
      <c r="K13" s="279"/>
      <c r="L13" s="280"/>
      <c r="M13" s="279"/>
      <c r="N13" s="280"/>
      <c r="O13" s="279"/>
      <c r="P13" s="280"/>
      <c r="Q13" s="279"/>
      <c r="R13" s="280"/>
    </row>
    <row r="14" spans="1:18" ht="15">
      <c r="A14" s="293" t="s">
        <v>269</v>
      </c>
      <c r="B14" s="275"/>
      <c r="C14" s="275"/>
      <c r="D14" s="275"/>
      <c r="E14" s="276"/>
      <c r="F14" s="275"/>
      <c r="G14" s="276"/>
      <c r="H14" s="275"/>
      <c r="I14" s="278"/>
      <c r="J14" s="275"/>
      <c r="K14" s="279"/>
      <c r="L14" s="280"/>
      <c r="M14" s="279"/>
      <c r="N14" s="280"/>
      <c r="O14" s="279"/>
      <c r="P14" s="280"/>
      <c r="Q14" s="279"/>
      <c r="R14" s="280"/>
    </row>
    <row r="15" spans="1:18" ht="6.75" customHeight="1">
      <c r="A15" s="275"/>
      <c r="B15" s="275"/>
      <c r="C15" s="275"/>
      <c r="D15" s="275"/>
      <c r="E15" s="276"/>
      <c r="F15" s="275"/>
      <c r="G15" s="276"/>
      <c r="H15" s="275"/>
      <c r="I15" s="278"/>
      <c r="J15" s="275"/>
      <c r="K15" s="279"/>
      <c r="L15" s="280"/>
      <c r="M15" s="279"/>
      <c r="N15" s="280"/>
      <c r="O15" s="279"/>
      <c r="P15" s="280"/>
      <c r="Q15" s="279"/>
      <c r="R15" s="280"/>
    </row>
    <row r="16" spans="1:19" ht="15">
      <c r="A16" s="294" t="s">
        <v>56</v>
      </c>
      <c r="B16" s="275"/>
      <c r="C16" s="275"/>
      <c r="D16" s="275"/>
      <c r="E16" s="276"/>
      <c r="F16" s="275"/>
      <c r="G16" s="276"/>
      <c r="H16" s="275"/>
      <c r="I16" s="278"/>
      <c r="J16" s="275"/>
      <c r="K16" s="24">
        <f>SUM(K17:L37)</f>
        <v>11128365.322271124</v>
      </c>
      <c r="L16" s="28"/>
      <c r="M16" s="24">
        <f>SUM(M17:P37)</f>
        <v>2231.492658018461</v>
      </c>
      <c r="N16" s="28"/>
      <c r="O16" s="24">
        <f>SUM(O17:O34)</f>
        <v>5.630860336725834</v>
      </c>
      <c r="P16" s="28"/>
      <c r="Q16" s="24">
        <f>SUM(Q17:R37)</f>
        <v>9.224823079762194</v>
      </c>
      <c r="R16" s="28"/>
      <c r="S16" s="381"/>
    </row>
    <row r="17" spans="1:21" ht="14.25">
      <c r="A17" s="283" t="s">
        <v>210</v>
      </c>
      <c r="B17" s="275"/>
      <c r="C17" s="236">
        <v>2.140818822023047</v>
      </c>
      <c r="D17" s="275"/>
      <c r="E17" s="281" t="s">
        <v>46</v>
      </c>
      <c r="F17" s="275"/>
      <c r="G17" s="281">
        <f>TotalCows</f>
        <v>5000</v>
      </c>
      <c r="H17" s="275"/>
      <c r="I17" s="138">
        <v>235</v>
      </c>
      <c r="J17" s="275"/>
      <c r="K17" s="231">
        <f aca="true" t="shared" si="0" ref="K17:K36">C17*G17*I17</f>
        <v>2515462.1158770802</v>
      </c>
      <c r="L17" s="280"/>
      <c r="M17" s="231">
        <f>K17/5000</f>
        <v>503.09242317541606</v>
      </c>
      <c r="N17" s="280"/>
      <c r="O17" s="132">
        <f>M17/365</f>
        <v>1.378335405960044</v>
      </c>
      <c r="P17" s="280"/>
      <c r="Q17" s="237">
        <f aca="true" t="shared" si="1" ref="Q17:Q36">K17/MProd/TotalCows</f>
        <v>2.085184329487363</v>
      </c>
      <c r="R17" s="280"/>
      <c r="S17" s="381"/>
      <c r="T17" s="380"/>
      <c r="U17" s="380"/>
    </row>
    <row r="18" spans="1:21" ht="14.25">
      <c r="A18" s="283" t="s">
        <v>234</v>
      </c>
      <c r="B18" s="275"/>
      <c r="C18" s="236">
        <v>0.6508157170294495</v>
      </c>
      <c r="D18" s="275"/>
      <c r="E18" s="281" t="s">
        <v>46</v>
      </c>
      <c r="F18" s="275"/>
      <c r="G18" s="281">
        <v>5000</v>
      </c>
      <c r="H18" s="275"/>
      <c r="I18" s="138">
        <v>200</v>
      </c>
      <c r="J18" s="275"/>
      <c r="K18" s="231">
        <f>C18*G18*I18</f>
        <v>650815.7170294495</v>
      </c>
      <c r="L18" s="280"/>
      <c r="M18" s="231">
        <f aca="true" t="shared" si="2" ref="M18:M37">K18/5000</f>
        <v>130.1631434058899</v>
      </c>
      <c r="N18" s="280"/>
      <c r="O18" s="132">
        <f>M18/365</f>
        <v>0.3566113517969587</v>
      </c>
      <c r="P18" s="280"/>
      <c r="Q18" s="237">
        <f>K18/MProd/TotalCows</f>
        <v>0.5394916210299245</v>
      </c>
      <c r="R18" s="280"/>
      <c r="S18" s="381"/>
      <c r="T18" s="380"/>
      <c r="U18" s="380"/>
    </row>
    <row r="19" spans="1:21" ht="14.25">
      <c r="A19" s="283" t="s">
        <v>51</v>
      </c>
      <c r="B19" s="275"/>
      <c r="C19" s="236">
        <v>0.06328066581306017</v>
      </c>
      <c r="D19" s="275"/>
      <c r="E19" s="281" t="s">
        <v>46</v>
      </c>
      <c r="F19" s="275"/>
      <c r="G19" s="281">
        <v>5000</v>
      </c>
      <c r="H19" s="275"/>
      <c r="I19" s="138">
        <v>56</v>
      </c>
      <c r="J19" s="275"/>
      <c r="K19" s="231">
        <f>C19*G19*I19</f>
        <v>17718.586427656846</v>
      </c>
      <c r="L19" s="280"/>
      <c r="M19" s="231">
        <f t="shared" si="2"/>
        <v>3.543717285531369</v>
      </c>
      <c r="N19" s="280"/>
      <c r="O19" s="132">
        <f>M19/365</f>
        <v>0.00970881448090786</v>
      </c>
      <c r="P19" s="280"/>
      <c r="Q19" s="237">
        <f>K19/MProd/TotalCows</f>
        <v>0.014687765928343222</v>
      </c>
      <c r="R19" s="280"/>
      <c r="S19" s="381"/>
      <c r="T19" s="380"/>
      <c r="U19" s="380"/>
    </row>
    <row r="20" spans="1:21" ht="14.25">
      <c r="A20" s="283" t="s">
        <v>220</v>
      </c>
      <c r="B20" s="275"/>
      <c r="C20" s="236">
        <v>0.7008642253521126</v>
      </c>
      <c r="D20" s="275"/>
      <c r="E20" s="281" t="s">
        <v>46</v>
      </c>
      <c r="F20" s="275"/>
      <c r="G20" s="281">
        <f aca="true" t="shared" si="3" ref="G20:G32">TotalCows</f>
        <v>5000</v>
      </c>
      <c r="H20" s="275"/>
      <c r="I20" s="138">
        <v>36</v>
      </c>
      <c r="J20" s="275"/>
      <c r="K20" s="231">
        <f t="shared" si="0"/>
        <v>126155.56056338026</v>
      </c>
      <c r="L20" s="280"/>
      <c r="M20" s="231">
        <f t="shared" si="2"/>
        <v>25.23111211267605</v>
      </c>
      <c r="N20" s="280"/>
      <c r="O20" s="132">
        <f aca="true" t="shared" si="4" ref="O20:O36">M20/365</f>
        <v>0.06912633455527685</v>
      </c>
      <c r="P20" s="280"/>
      <c r="Q20" s="237">
        <f t="shared" si="1"/>
        <v>0.10457625114053158</v>
      </c>
      <c r="R20" s="280"/>
      <c r="S20" s="381"/>
      <c r="T20" s="380"/>
      <c r="U20" s="380"/>
    </row>
    <row r="21" spans="1:21" ht="14.25">
      <c r="A21" s="283" t="s">
        <v>209</v>
      </c>
      <c r="B21" s="275"/>
      <c r="C21" s="236">
        <v>0.8163475352112677</v>
      </c>
      <c r="D21" s="275"/>
      <c r="E21" s="281" t="s">
        <v>46</v>
      </c>
      <c r="F21" s="275"/>
      <c r="G21" s="281">
        <f t="shared" si="3"/>
        <v>5000</v>
      </c>
      <c r="H21" s="275"/>
      <c r="I21" s="138">
        <v>61</v>
      </c>
      <c r="J21" s="275"/>
      <c r="K21" s="231">
        <f t="shared" si="0"/>
        <v>248985.99823943665</v>
      </c>
      <c r="L21" s="280"/>
      <c r="M21" s="231">
        <f t="shared" si="2"/>
        <v>49.79719964788733</v>
      </c>
      <c r="N21" s="280"/>
      <c r="O21" s="132">
        <f t="shared" si="4"/>
        <v>0.1364306839668146</v>
      </c>
      <c r="P21" s="280"/>
      <c r="Q21" s="237">
        <f t="shared" si="1"/>
        <v>0.2063961522273276</v>
      </c>
      <c r="R21" s="280"/>
      <c r="S21" s="381"/>
      <c r="T21" s="380"/>
      <c r="U21" s="380"/>
    </row>
    <row r="22" spans="1:22" ht="14.25">
      <c r="A22" s="283" t="s">
        <v>277</v>
      </c>
      <c r="B22" s="275"/>
      <c r="C22" s="236">
        <v>6.614570147247118</v>
      </c>
      <c r="D22" s="275"/>
      <c r="E22" s="281" t="s">
        <v>46</v>
      </c>
      <c r="F22" s="275"/>
      <c r="G22" s="281">
        <f t="shared" si="3"/>
        <v>5000</v>
      </c>
      <c r="H22" s="275"/>
      <c r="I22" s="138">
        <v>45</v>
      </c>
      <c r="J22" s="275"/>
      <c r="K22" s="231">
        <f>C22*G22*I22*0.85</f>
        <v>1265036.5406610114</v>
      </c>
      <c r="L22" s="280"/>
      <c r="M22" s="231">
        <f t="shared" si="2"/>
        <v>253.00730813220227</v>
      </c>
      <c r="N22" s="280"/>
      <c r="O22" s="132">
        <f t="shared" si="4"/>
        <v>0.6931707072115131</v>
      </c>
      <c r="P22" s="280"/>
      <c r="Q22" s="237">
        <f t="shared" si="1"/>
        <v>1.048648021437403</v>
      </c>
      <c r="R22" s="280"/>
      <c r="S22" s="381"/>
      <c r="T22" s="380"/>
      <c r="U22" s="380"/>
      <c r="V22" s="416"/>
    </row>
    <row r="23" spans="1:21" ht="14.25">
      <c r="A23" s="283" t="s">
        <v>278</v>
      </c>
      <c r="B23" s="275"/>
      <c r="C23" s="236">
        <v>1.3937640845070425</v>
      </c>
      <c r="D23" s="275"/>
      <c r="E23" s="281" t="s">
        <v>46</v>
      </c>
      <c r="F23" s="275"/>
      <c r="G23" s="281">
        <f t="shared" si="3"/>
        <v>5000</v>
      </c>
      <c r="H23" s="275"/>
      <c r="I23" s="138">
        <v>70</v>
      </c>
      <c r="J23" s="275"/>
      <c r="K23" s="231">
        <f>C23*G23*I23*0.9</f>
        <v>439035.6866197183</v>
      </c>
      <c r="L23" s="280"/>
      <c r="M23" s="231">
        <f t="shared" si="2"/>
        <v>87.80713732394366</v>
      </c>
      <c r="N23" s="280"/>
      <c r="O23" s="132">
        <f t="shared" si="4"/>
        <v>0.24056749951765388</v>
      </c>
      <c r="P23" s="280"/>
      <c r="Q23" s="237">
        <f t="shared" si="1"/>
        <v>0.3639372376339523</v>
      </c>
      <c r="R23" s="280"/>
      <c r="S23" s="381"/>
      <c r="T23" s="380"/>
      <c r="U23" s="380"/>
    </row>
    <row r="24" spans="1:21" ht="14.25">
      <c r="A24" s="283" t="s">
        <v>216</v>
      </c>
      <c r="B24" s="275"/>
      <c r="C24" s="236">
        <v>0.1819748719590269</v>
      </c>
      <c r="D24" s="275"/>
      <c r="E24" s="281" t="s">
        <v>46</v>
      </c>
      <c r="F24" s="275"/>
      <c r="G24" s="281">
        <f t="shared" si="3"/>
        <v>5000</v>
      </c>
      <c r="H24" s="275"/>
      <c r="I24" s="138">
        <v>182</v>
      </c>
      <c r="J24" s="275"/>
      <c r="K24" s="231">
        <f t="shared" si="0"/>
        <v>165597.13348271447</v>
      </c>
      <c r="L24" s="280"/>
      <c r="M24" s="231">
        <f t="shared" si="2"/>
        <v>33.119426696542895</v>
      </c>
      <c r="N24" s="280"/>
      <c r="O24" s="132">
        <f t="shared" si="4"/>
        <v>0.09073815533299423</v>
      </c>
      <c r="P24" s="280"/>
      <c r="Q24" s="237">
        <f t="shared" si="1"/>
        <v>0.1372712177085543</v>
      </c>
      <c r="R24" s="280"/>
      <c r="S24" s="381"/>
      <c r="T24" s="380"/>
      <c r="U24" s="380"/>
    </row>
    <row r="25" spans="1:21" ht="14.25">
      <c r="A25" s="283" t="s">
        <v>215</v>
      </c>
      <c r="B25" s="275"/>
      <c r="C25" s="236">
        <v>1.7375207586427655</v>
      </c>
      <c r="D25" s="275"/>
      <c r="E25" s="281" t="s">
        <v>46</v>
      </c>
      <c r="F25" s="275"/>
      <c r="G25" s="281">
        <f t="shared" si="3"/>
        <v>5000</v>
      </c>
      <c r="H25" s="275"/>
      <c r="I25" s="138">
        <v>190</v>
      </c>
      <c r="J25" s="275"/>
      <c r="K25" s="231">
        <f t="shared" si="0"/>
        <v>1650644.7207106273</v>
      </c>
      <c r="L25" s="280"/>
      <c r="M25" s="231">
        <f t="shared" si="2"/>
        <v>330.1289441421255</v>
      </c>
      <c r="N25" s="280"/>
      <c r="O25" s="132">
        <f t="shared" si="4"/>
        <v>0.9044628606633575</v>
      </c>
      <c r="P25" s="280"/>
      <c r="Q25" s="237">
        <f t="shared" si="1"/>
        <v>1.3682966972359822</v>
      </c>
      <c r="R25" s="280"/>
      <c r="S25" s="381"/>
      <c r="T25" s="380"/>
      <c r="U25" s="380"/>
    </row>
    <row r="26" spans="1:21" ht="14.25">
      <c r="A26" s="283" t="s">
        <v>52</v>
      </c>
      <c r="B26" s="275"/>
      <c r="C26" s="236">
        <v>0.26547887323943664</v>
      </c>
      <c r="D26" s="275"/>
      <c r="E26" s="281" t="s">
        <v>46</v>
      </c>
      <c r="F26" s="275"/>
      <c r="G26" s="281">
        <f t="shared" si="3"/>
        <v>5000</v>
      </c>
      <c r="H26" s="275"/>
      <c r="I26" s="138">
        <v>155</v>
      </c>
      <c r="J26" s="275"/>
      <c r="K26" s="231">
        <f t="shared" si="0"/>
        <v>205746.1267605634</v>
      </c>
      <c r="L26" s="280"/>
      <c r="M26" s="231">
        <f t="shared" si="2"/>
        <v>41.14922535211268</v>
      </c>
      <c r="N26" s="280"/>
      <c r="O26" s="132">
        <f t="shared" si="4"/>
        <v>0.11273760370441831</v>
      </c>
      <c r="P26" s="280"/>
      <c r="Q26" s="237">
        <f t="shared" si="1"/>
        <v>0.17055259813533666</v>
      </c>
      <c r="R26" s="280"/>
      <c r="S26" s="381"/>
      <c r="T26" s="380"/>
      <c r="U26" s="380"/>
    </row>
    <row r="27" spans="1:21" ht="14.25">
      <c r="A27" s="283" t="s">
        <v>221</v>
      </c>
      <c r="B27" s="275"/>
      <c r="C27" s="236">
        <v>0.2820713028169014</v>
      </c>
      <c r="D27" s="275"/>
      <c r="E27" s="281" t="s">
        <v>46</v>
      </c>
      <c r="F27" s="275"/>
      <c r="G27" s="281">
        <f t="shared" si="3"/>
        <v>5000</v>
      </c>
      <c r="H27" s="275"/>
      <c r="I27" s="138">
        <v>275</v>
      </c>
      <c r="J27" s="275"/>
      <c r="K27" s="231">
        <f t="shared" si="0"/>
        <v>387848.0413732395</v>
      </c>
      <c r="L27" s="280"/>
      <c r="M27" s="231">
        <f t="shared" si="2"/>
        <v>77.56960827464789</v>
      </c>
      <c r="N27" s="280"/>
      <c r="O27" s="132">
        <f t="shared" si="4"/>
        <v>0.21251947472506272</v>
      </c>
      <c r="P27" s="280"/>
      <c r="Q27" s="237">
        <f t="shared" si="1"/>
        <v>0.32150540172689474</v>
      </c>
      <c r="R27" s="280"/>
      <c r="S27" s="381"/>
      <c r="T27" s="380"/>
      <c r="U27" s="380"/>
    </row>
    <row r="28" spans="1:21" ht="14.25">
      <c r="A28" s="283" t="s">
        <v>217</v>
      </c>
      <c r="B28" s="275"/>
      <c r="C28" s="236">
        <v>0.3295288732394367</v>
      </c>
      <c r="D28" s="275"/>
      <c r="E28" s="281" t="s">
        <v>46</v>
      </c>
      <c r="F28" s="275"/>
      <c r="G28" s="281">
        <f t="shared" si="3"/>
        <v>5000</v>
      </c>
      <c r="H28" s="275"/>
      <c r="I28" s="138">
        <v>240</v>
      </c>
      <c r="J28" s="275"/>
      <c r="K28" s="231">
        <f t="shared" si="0"/>
        <v>395434.64788732404</v>
      </c>
      <c r="L28" s="280"/>
      <c r="M28" s="231">
        <f t="shared" si="2"/>
        <v>79.08692957746482</v>
      </c>
      <c r="N28" s="280"/>
      <c r="O28" s="132">
        <f t="shared" si="4"/>
        <v>0.21667651939031457</v>
      </c>
      <c r="P28" s="280"/>
      <c r="Q28" s="237">
        <f t="shared" si="1"/>
        <v>0.3277942950945613</v>
      </c>
      <c r="R28" s="280"/>
      <c r="S28" s="381"/>
      <c r="T28" s="380"/>
      <c r="U28" s="380"/>
    </row>
    <row r="29" spans="1:21" ht="14.25">
      <c r="A29" s="283" t="s">
        <v>53</v>
      </c>
      <c r="B29" s="275"/>
      <c r="C29" s="236">
        <v>0.3310987836107554</v>
      </c>
      <c r="D29" s="275"/>
      <c r="E29" s="281" t="s">
        <v>46</v>
      </c>
      <c r="F29" s="275"/>
      <c r="G29" s="281">
        <f t="shared" si="3"/>
        <v>5000</v>
      </c>
      <c r="H29" s="275"/>
      <c r="I29" s="138">
        <v>190</v>
      </c>
      <c r="J29" s="275"/>
      <c r="K29" s="231">
        <f t="shared" si="0"/>
        <v>314543.84443021764</v>
      </c>
      <c r="L29" s="280"/>
      <c r="M29" s="231">
        <f t="shared" si="2"/>
        <v>62.908768886043525</v>
      </c>
      <c r="N29" s="280"/>
      <c r="O29" s="132">
        <f t="shared" si="4"/>
        <v>0.1723527914686124</v>
      </c>
      <c r="P29" s="280"/>
      <c r="Q29" s="237">
        <f t="shared" si="1"/>
        <v>0.2607401205539169</v>
      </c>
      <c r="R29" s="280"/>
      <c r="S29" s="381"/>
      <c r="T29" s="380"/>
      <c r="U29" s="380"/>
    </row>
    <row r="30" spans="1:21" ht="14.25">
      <c r="A30" s="283" t="s">
        <v>54</v>
      </c>
      <c r="B30" s="275"/>
      <c r="C30" s="236">
        <v>0.6601258322663254</v>
      </c>
      <c r="D30" s="275"/>
      <c r="E30" s="281" t="s">
        <v>46</v>
      </c>
      <c r="F30" s="275"/>
      <c r="G30" s="281">
        <f t="shared" si="3"/>
        <v>5000</v>
      </c>
      <c r="H30" s="275"/>
      <c r="I30" s="138">
        <v>360</v>
      </c>
      <c r="J30" s="275"/>
      <c r="K30" s="231">
        <f t="shared" si="0"/>
        <v>1188226.4980793858</v>
      </c>
      <c r="L30" s="280"/>
      <c r="M30" s="231">
        <f t="shared" si="2"/>
        <v>237.64529961587718</v>
      </c>
      <c r="N30" s="280"/>
      <c r="O30" s="132">
        <f t="shared" si="4"/>
        <v>0.6510830126462388</v>
      </c>
      <c r="P30" s="280"/>
      <c r="Q30" s="237">
        <f t="shared" si="1"/>
        <v>0.9849765806601614</v>
      </c>
      <c r="R30" s="280"/>
      <c r="S30" s="381"/>
      <c r="T30" s="380"/>
      <c r="U30" s="380"/>
    </row>
    <row r="31" spans="1:21" ht="14.25">
      <c r="A31" s="283" t="s">
        <v>55</v>
      </c>
      <c r="B31" s="275"/>
      <c r="C31" s="236">
        <v>0.2627045838668374</v>
      </c>
      <c r="D31" s="275"/>
      <c r="E31" s="281" t="s">
        <v>46</v>
      </c>
      <c r="F31" s="275"/>
      <c r="G31" s="281">
        <f t="shared" si="3"/>
        <v>5000</v>
      </c>
      <c r="H31" s="275"/>
      <c r="I31" s="138">
        <v>283</v>
      </c>
      <c r="J31" s="275"/>
      <c r="K31" s="231">
        <f t="shared" si="0"/>
        <v>371726.986171575</v>
      </c>
      <c r="L31" s="280"/>
      <c r="M31" s="231">
        <f t="shared" si="2"/>
        <v>74.345397234315</v>
      </c>
      <c r="N31" s="280"/>
      <c r="O31" s="132">
        <f t="shared" si="4"/>
        <v>0.2036860198200411</v>
      </c>
      <c r="P31" s="280"/>
      <c r="Q31" s="237">
        <f t="shared" si="1"/>
        <v>0.3081419042330791</v>
      </c>
      <c r="R31" s="280"/>
      <c r="S31" s="381"/>
      <c r="T31" s="380"/>
      <c r="U31" s="380"/>
    </row>
    <row r="32" spans="1:21" ht="14.25" customHeight="1">
      <c r="A32" s="283" t="s">
        <v>218</v>
      </c>
      <c r="B32" s="275"/>
      <c r="C32" s="236">
        <v>0.06434230793854033</v>
      </c>
      <c r="D32" s="275"/>
      <c r="E32" s="281" t="s">
        <v>46</v>
      </c>
      <c r="F32" s="275"/>
      <c r="G32" s="281">
        <f t="shared" si="3"/>
        <v>5000</v>
      </c>
      <c r="H32" s="275"/>
      <c r="I32" s="138">
        <v>1340</v>
      </c>
      <c r="J32" s="275"/>
      <c r="K32" s="231">
        <f t="shared" si="0"/>
        <v>431093.4631882202</v>
      </c>
      <c r="L32" s="280"/>
      <c r="M32" s="231">
        <f t="shared" si="2"/>
        <v>86.21869263764404</v>
      </c>
      <c r="N32" s="280"/>
      <c r="O32" s="132"/>
      <c r="P32" s="280"/>
      <c r="Q32" s="237">
        <f t="shared" si="1"/>
        <v>0.35735355675236885</v>
      </c>
      <c r="R32" s="280"/>
      <c r="S32" s="381"/>
      <c r="T32" s="380"/>
      <c r="U32" s="380"/>
    </row>
    <row r="33" spans="1:21" ht="14.25" customHeight="1">
      <c r="A33" s="283" t="s">
        <v>244</v>
      </c>
      <c r="B33" s="275"/>
      <c r="C33" s="236">
        <v>0.09001600512163892</v>
      </c>
      <c r="D33" s="275"/>
      <c r="E33" s="281" t="s">
        <v>46</v>
      </c>
      <c r="F33" s="275"/>
      <c r="G33" s="281">
        <v>5000</v>
      </c>
      <c r="H33" s="275"/>
      <c r="I33" s="138">
        <v>170</v>
      </c>
      <c r="J33" s="275"/>
      <c r="K33" s="231">
        <f>C33*G33*I33</f>
        <v>76513.60435339308</v>
      </c>
      <c r="L33" s="280"/>
      <c r="M33" s="231">
        <f t="shared" si="2"/>
        <v>15.302720870678616</v>
      </c>
      <c r="N33" s="280"/>
      <c r="O33" s="132"/>
      <c r="P33" s="280"/>
      <c r="Q33" s="237">
        <f>K33/MProd/TotalCows</f>
        <v>0.06342570924971448</v>
      </c>
      <c r="R33" s="280"/>
      <c r="S33" s="381"/>
      <c r="T33" s="380"/>
      <c r="U33" s="380"/>
    </row>
    <row r="34" spans="1:21" ht="14.25">
      <c r="A34" s="283" t="s">
        <v>270</v>
      </c>
      <c r="B34" s="275"/>
      <c r="C34" s="236">
        <v>0.16260580985915496</v>
      </c>
      <c r="D34" s="275"/>
      <c r="E34" s="281" t="s">
        <v>46</v>
      </c>
      <c r="F34" s="275"/>
      <c r="G34" s="281">
        <f>TotalCows</f>
        <v>5000</v>
      </c>
      <c r="H34" s="275"/>
      <c r="I34" s="138">
        <v>410</v>
      </c>
      <c r="J34" s="275"/>
      <c r="K34" s="231">
        <f t="shared" si="0"/>
        <v>333341.9102112677</v>
      </c>
      <c r="L34" s="280"/>
      <c r="M34" s="231">
        <f t="shared" si="2"/>
        <v>66.66838204225354</v>
      </c>
      <c r="N34" s="280"/>
      <c r="O34" s="132">
        <f t="shared" si="4"/>
        <v>0.18265310148562613</v>
      </c>
      <c r="P34" s="280"/>
      <c r="Q34" s="237">
        <f t="shared" si="1"/>
        <v>0.27632271746281567</v>
      </c>
      <c r="R34" s="280"/>
      <c r="S34" s="381"/>
      <c r="T34" s="380"/>
      <c r="U34" s="380"/>
    </row>
    <row r="35" spans="1:21" ht="14.25">
      <c r="A35" s="283" t="s">
        <v>271</v>
      </c>
      <c r="B35" s="275"/>
      <c r="C35" s="236">
        <v>0.01615601792573624</v>
      </c>
      <c r="D35" s="275"/>
      <c r="E35" s="281" t="s">
        <v>46</v>
      </c>
      <c r="F35" s="275"/>
      <c r="G35" s="281">
        <f>TotalCows</f>
        <v>5000</v>
      </c>
      <c r="H35" s="275"/>
      <c r="I35" s="138">
        <v>1310</v>
      </c>
      <c r="J35" s="275"/>
      <c r="K35" s="231">
        <f>C35*G35*I35</f>
        <v>105821.91741357237</v>
      </c>
      <c r="L35" s="280"/>
      <c r="M35" s="231">
        <f t="shared" si="2"/>
        <v>21.164383482714474</v>
      </c>
      <c r="N35" s="280"/>
      <c r="O35" s="132">
        <f>M35/365</f>
        <v>0.05798461228140952</v>
      </c>
      <c r="P35" s="280"/>
      <c r="Q35" s="237">
        <f>K35/MProd/TotalCows</f>
        <v>0.08772074225023614</v>
      </c>
      <c r="R35" s="280"/>
      <c r="S35" s="381"/>
      <c r="T35" s="380"/>
      <c r="U35" s="380"/>
    </row>
    <row r="36" spans="1:21" ht="14.25">
      <c r="A36" s="283" t="s">
        <v>272</v>
      </c>
      <c r="B36" s="275"/>
      <c r="C36" s="236">
        <v>0.005892045454545454</v>
      </c>
      <c r="D36" s="275"/>
      <c r="E36" s="281" t="s">
        <v>46</v>
      </c>
      <c r="F36" s="275"/>
      <c r="G36" s="281">
        <f>TotalCows</f>
        <v>5000</v>
      </c>
      <c r="H36" s="275"/>
      <c r="I36" s="138">
        <v>1520</v>
      </c>
      <c r="J36" s="275"/>
      <c r="K36" s="231">
        <f t="shared" si="0"/>
        <v>44779.54545454545</v>
      </c>
      <c r="L36" s="280"/>
      <c r="M36" s="231">
        <f t="shared" si="2"/>
        <v>8.95590909090909</v>
      </c>
      <c r="N36" s="280"/>
      <c r="O36" s="132">
        <f t="shared" si="4"/>
        <v>0.02453673723536737</v>
      </c>
      <c r="P36" s="280"/>
      <c r="Q36" s="237">
        <f t="shared" si="1"/>
        <v>0.037119861942674554</v>
      </c>
      <c r="R36" s="280"/>
      <c r="S36" s="381"/>
      <c r="T36" s="380"/>
      <c r="U36" s="380"/>
    </row>
    <row r="37" spans="1:21" ht="14.25">
      <c r="A37" s="283" t="s">
        <v>273</v>
      </c>
      <c r="B37" s="275"/>
      <c r="C37" s="236">
        <v>0.02651664532650448</v>
      </c>
      <c r="D37" s="275"/>
      <c r="E37" s="281" t="s">
        <v>46</v>
      </c>
      <c r="F37" s="275"/>
      <c r="G37" s="281">
        <f>TotalCows</f>
        <v>5000</v>
      </c>
      <c r="H37" s="275"/>
      <c r="I37" s="138">
        <v>1462</v>
      </c>
      <c r="J37" s="275"/>
      <c r="K37" s="231">
        <f>C37*G37*I37</f>
        <v>193836.67733674776</v>
      </c>
      <c r="L37" s="280"/>
      <c r="M37" s="231">
        <f t="shared" si="2"/>
        <v>38.767335467349554</v>
      </c>
      <c r="N37" s="280"/>
      <c r="O37" s="132">
        <f>M37/365</f>
        <v>0.1062118779927385</v>
      </c>
      <c r="P37" s="280"/>
      <c r="Q37" s="237">
        <f>K37/MProd/TotalCows</f>
        <v>0.16068029787105545</v>
      </c>
      <c r="R37" s="280"/>
      <c r="S37" s="381"/>
      <c r="T37" s="380"/>
      <c r="U37" s="380"/>
    </row>
    <row r="38" spans="1:18" ht="7.5" customHeight="1">
      <c r="A38" s="275"/>
      <c r="B38" s="275"/>
      <c r="C38" s="275"/>
      <c r="D38" s="275"/>
      <c r="E38" s="276"/>
      <c r="F38" s="275"/>
      <c r="G38" s="276"/>
      <c r="H38" s="275"/>
      <c r="I38" s="278"/>
      <c r="J38" s="275"/>
      <c r="K38" s="279"/>
      <c r="L38" s="280"/>
      <c r="M38" s="279"/>
      <c r="N38" s="280"/>
      <c r="O38" s="279"/>
      <c r="P38" s="280"/>
      <c r="Q38" s="279"/>
      <c r="R38" s="280"/>
    </row>
    <row r="39" spans="1:18" ht="7.5" customHeight="1">
      <c r="A39" s="275"/>
      <c r="B39" s="275"/>
      <c r="C39" s="275"/>
      <c r="D39" s="275"/>
      <c r="E39" s="276"/>
      <c r="F39" s="275"/>
      <c r="G39" s="276"/>
      <c r="H39" s="275"/>
      <c r="I39" s="278"/>
      <c r="J39" s="275"/>
      <c r="K39" s="279"/>
      <c r="L39" s="280"/>
      <c r="M39" s="279"/>
      <c r="N39" s="280"/>
      <c r="O39" s="279"/>
      <c r="P39" s="280"/>
      <c r="Q39" s="279"/>
      <c r="R39" s="280"/>
    </row>
    <row r="40" spans="1:18" ht="14.25">
      <c r="A40" s="293" t="s">
        <v>243</v>
      </c>
      <c r="B40" s="275"/>
      <c r="C40" s="275"/>
      <c r="D40" s="275"/>
      <c r="E40" s="276"/>
      <c r="F40" s="275"/>
      <c r="G40" s="276"/>
      <c r="H40" s="275"/>
      <c r="I40" s="278"/>
      <c r="J40" s="275"/>
      <c r="K40" s="279"/>
      <c r="L40" s="280"/>
      <c r="M40" s="279"/>
      <c r="N40" s="280"/>
      <c r="O40" s="279"/>
      <c r="P40" s="280"/>
      <c r="Q40" s="279"/>
      <c r="R40" s="280"/>
    </row>
    <row r="41" spans="1:18" ht="12.75" customHeight="1">
      <c r="A41" s="275"/>
      <c r="B41" s="275"/>
      <c r="C41" s="275"/>
      <c r="D41" s="275"/>
      <c r="E41" s="276"/>
      <c r="F41" s="275"/>
      <c r="G41" s="276"/>
      <c r="H41" s="275"/>
      <c r="I41" s="278"/>
      <c r="J41" s="275"/>
      <c r="K41" s="24">
        <f>SUM(K42:K54)</f>
        <v>7460000</v>
      </c>
      <c r="L41" s="28"/>
      <c r="M41" s="24">
        <f>SUM(M42:M54)</f>
        <v>1492</v>
      </c>
      <c r="N41" s="28"/>
      <c r="O41" s="24">
        <f>SUM(O48:O52)</f>
        <v>0.6219178082191781</v>
      </c>
      <c r="P41" s="28"/>
      <c r="Q41" s="24">
        <f>SUM(Q42:Q54)</f>
        <v>6.183943300037301</v>
      </c>
      <c r="R41" s="280"/>
    </row>
    <row r="42" spans="1:18" ht="14.25">
      <c r="A42" s="283" t="s">
        <v>62</v>
      </c>
      <c r="B42" s="275"/>
      <c r="C42" s="134">
        <v>1</v>
      </c>
      <c r="D42" s="275"/>
      <c r="E42" s="281" t="s">
        <v>46</v>
      </c>
      <c r="F42" s="275"/>
      <c r="G42" s="281">
        <f aca="true" t="shared" si="5" ref="G42:G54">TotalCows</f>
        <v>5000</v>
      </c>
      <c r="H42" s="275"/>
      <c r="I42" s="138">
        <v>375</v>
      </c>
      <c r="J42" s="275"/>
      <c r="K42" s="231">
        <f aca="true" t="shared" si="6" ref="K42:K54">C42*G42*I42</f>
        <v>1875000</v>
      </c>
      <c r="L42" s="280"/>
      <c r="M42" s="237">
        <f aca="true" t="shared" si="7" ref="M42:M54">K42/TotalCows</f>
        <v>375</v>
      </c>
      <c r="N42" s="280"/>
      <c r="O42" s="132">
        <f>M42/365</f>
        <v>1.0273972602739727</v>
      </c>
      <c r="P42" s="280"/>
      <c r="Q42" s="237">
        <f aca="true" t="shared" si="8" ref="Q42:Q54">K42/MProd/TotalCows</f>
        <v>1.5542752932399386</v>
      </c>
      <c r="R42" s="280"/>
    </row>
    <row r="43" spans="1:21" ht="14.25">
      <c r="A43" s="283" t="s">
        <v>61</v>
      </c>
      <c r="B43" s="275"/>
      <c r="C43" s="134">
        <v>1</v>
      </c>
      <c r="D43" s="275"/>
      <c r="E43" s="281" t="s">
        <v>46</v>
      </c>
      <c r="F43" s="275"/>
      <c r="G43" s="281">
        <f t="shared" si="5"/>
        <v>5000</v>
      </c>
      <c r="H43" s="275"/>
      <c r="I43" s="138">
        <v>132</v>
      </c>
      <c r="J43" s="275"/>
      <c r="K43" s="231">
        <f t="shared" si="6"/>
        <v>660000</v>
      </c>
      <c r="L43" s="280"/>
      <c r="M43" s="237">
        <f t="shared" si="7"/>
        <v>132</v>
      </c>
      <c r="N43" s="280"/>
      <c r="O43" s="132">
        <f>M43/365</f>
        <v>0.36164383561643837</v>
      </c>
      <c r="P43" s="280"/>
      <c r="Q43" s="237">
        <f t="shared" si="8"/>
        <v>0.5471049032204583</v>
      </c>
      <c r="R43" s="280"/>
      <c r="T43" s="381"/>
      <c r="U43" s="381"/>
    </row>
    <row r="44" spans="1:21" ht="14.25">
      <c r="A44" s="283" t="s">
        <v>63</v>
      </c>
      <c r="B44" s="275"/>
      <c r="C44" s="134">
        <v>1</v>
      </c>
      <c r="D44" s="275"/>
      <c r="E44" s="281" t="s">
        <v>46</v>
      </c>
      <c r="F44" s="275"/>
      <c r="G44" s="281">
        <f t="shared" si="5"/>
        <v>5000</v>
      </c>
      <c r="H44" s="275"/>
      <c r="I44" s="138">
        <v>217</v>
      </c>
      <c r="J44" s="275"/>
      <c r="K44" s="231">
        <f t="shared" si="6"/>
        <v>1085000</v>
      </c>
      <c r="L44" s="280"/>
      <c r="M44" s="237">
        <f t="shared" si="7"/>
        <v>217</v>
      </c>
      <c r="N44" s="280"/>
      <c r="O44" s="132">
        <f>M44/365</f>
        <v>0.5945205479452055</v>
      </c>
      <c r="P44" s="280"/>
      <c r="Q44" s="237">
        <f t="shared" si="8"/>
        <v>0.8994073030215112</v>
      </c>
      <c r="R44" s="280"/>
      <c r="T44" s="381"/>
      <c r="U44" s="381"/>
    </row>
    <row r="45" spans="1:21" ht="14.25">
      <c r="A45" s="283" t="s">
        <v>268</v>
      </c>
      <c r="B45" s="275"/>
      <c r="C45" s="134">
        <v>1</v>
      </c>
      <c r="D45" s="275"/>
      <c r="E45" s="281" t="s">
        <v>46</v>
      </c>
      <c r="F45" s="275"/>
      <c r="G45" s="281">
        <f t="shared" si="5"/>
        <v>5000</v>
      </c>
      <c r="H45" s="275"/>
      <c r="I45" s="138">
        <v>76</v>
      </c>
      <c r="J45" s="275"/>
      <c r="K45" s="231">
        <f>C45*G45*I45</f>
        <v>380000</v>
      </c>
      <c r="L45" s="280"/>
      <c r="M45" s="237">
        <f>K45/TotalCows</f>
        <v>76</v>
      </c>
      <c r="N45" s="280"/>
      <c r="O45" s="132">
        <f>M45/365</f>
        <v>0.20821917808219179</v>
      </c>
      <c r="P45" s="280"/>
      <c r="Q45" s="237">
        <f>K45/MProd/TotalCows</f>
        <v>0.3149997927632942</v>
      </c>
      <c r="R45" s="280"/>
      <c r="T45" s="381"/>
      <c r="U45" s="381"/>
    </row>
    <row r="46" spans="1:21" ht="14.25">
      <c r="A46" s="283" t="s">
        <v>64</v>
      </c>
      <c r="B46" s="275"/>
      <c r="C46" s="134">
        <v>1</v>
      </c>
      <c r="D46" s="275"/>
      <c r="E46" s="281" t="s">
        <v>46</v>
      </c>
      <c r="F46" s="275"/>
      <c r="G46" s="281">
        <f t="shared" si="5"/>
        <v>5000</v>
      </c>
      <c r="H46" s="275"/>
      <c r="I46" s="138">
        <v>136</v>
      </c>
      <c r="J46" s="275"/>
      <c r="K46" s="231">
        <f t="shared" si="6"/>
        <v>680000</v>
      </c>
      <c r="L46" s="280"/>
      <c r="M46" s="237">
        <f t="shared" si="7"/>
        <v>136</v>
      </c>
      <c r="N46" s="280"/>
      <c r="O46" s="132">
        <f>M46/365</f>
        <v>0.3726027397260274</v>
      </c>
      <c r="P46" s="280"/>
      <c r="Q46" s="237">
        <f t="shared" si="8"/>
        <v>0.5636838396816843</v>
      </c>
      <c r="R46" s="280"/>
      <c r="T46" s="381"/>
      <c r="U46" s="381"/>
    </row>
    <row r="47" spans="1:21" ht="14.25">
      <c r="A47" s="283" t="s">
        <v>245</v>
      </c>
      <c r="B47" s="275"/>
      <c r="C47" s="134">
        <v>1</v>
      </c>
      <c r="D47" s="275"/>
      <c r="E47" s="281" t="s">
        <v>46</v>
      </c>
      <c r="F47" s="275"/>
      <c r="G47" s="281">
        <f t="shared" si="5"/>
        <v>5000</v>
      </c>
      <c r="H47" s="275"/>
      <c r="I47" s="138">
        <v>200</v>
      </c>
      <c r="J47" s="275"/>
      <c r="K47" s="231">
        <v>1000000</v>
      </c>
      <c r="L47" s="280"/>
      <c r="M47" s="237">
        <f t="shared" si="7"/>
        <v>200</v>
      </c>
      <c r="N47" s="280"/>
      <c r="O47" s="132"/>
      <c r="P47" s="280"/>
      <c r="Q47" s="237">
        <f t="shared" si="8"/>
        <v>0.8289468230613005</v>
      </c>
      <c r="R47" s="280"/>
      <c r="T47" s="381"/>
      <c r="U47" s="381"/>
    </row>
    <row r="48" spans="1:21" ht="14.25">
      <c r="A48" s="283" t="s">
        <v>65</v>
      </c>
      <c r="B48" s="275"/>
      <c r="C48" s="134">
        <v>1</v>
      </c>
      <c r="D48" s="275"/>
      <c r="E48" s="281" t="s">
        <v>46</v>
      </c>
      <c r="F48" s="275"/>
      <c r="G48" s="281">
        <f t="shared" si="5"/>
        <v>5000</v>
      </c>
      <c r="H48" s="275"/>
      <c r="I48" s="138">
        <v>50</v>
      </c>
      <c r="J48" s="275"/>
      <c r="K48" s="231">
        <f t="shared" si="6"/>
        <v>250000</v>
      </c>
      <c r="L48" s="280"/>
      <c r="M48" s="237">
        <f t="shared" si="7"/>
        <v>50</v>
      </c>
      <c r="N48" s="280"/>
      <c r="O48" s="132">
        <f aca="true" t="shared" si="9" ref="O48:O54">M48/365</f>
        <v>0.136986301369863</v>
      </c>
      <c r="P48" s="280"/>
      <c r="Q48" s="237">
        <f t="shared" si="8"/>
        <v>0.20723670576532513</v>
      </c>
      <c r="R48" s="280"/>
      <c r="T48" s="381"/>
      <c r="U48" s="381"/>
    </row>
    <row r="49" spans="1:21" ht="14.25">
      <c r="A49" s="297" t="s">
        <v>59</v>
      </c>
      <c r="B49" s="275"/>
      <c r="C49" s="134">
        <v>1</v>
      </c>
      <c r="D49" s="275"/>
      <c r="E49" s="281" t="s">
        <v>46</v>
      </c>
      <c r="F49" s="275"/>
      <c r="G49" s="281">
        <f t="shared" si="5"/>
        <v>5000</v>
      </c>
      <c r="H49" s="275"/>
      <c r="I49" s="138">
        <v>85</v>
      </c>
      <c r="J49" s="275"/>
      <c r="K49" s="231">
        <f t="shared" si="6"/>
        <v>425000</v>
      </c>
      <c r="L49" s="280"/>
      <c r="M49" s="237">
        <f t="shared" si="7"/>
        <v>85</v>
      </c>
      <c r="N49" s="280"/>
      <c r="O49" s="132">
        <f t="shared" si="9"/>
        <v>0.2328767123287671</v>
      </c>
      <c r="P49" s="280"/>
      <c r="Q49" s="237">
        <f t="shared" si="8"/>
        <v>0.35230239980105277</v>
      </c>
      <c r="R49" s="280"/>
      <c r="T49" s="381"/>
      <c r="U49" s="381"/>
    </row>
    <row r="50" spans="1:18" ht="14.25">
      <c r="A50" s="284" t="s">
        <v>60</v>
      </c>
      <c r="B50" s="275"/>
      <c r="C50" s="134">
        <v>1</v>
      </c>
      <c r="D50" s="275"/>
      <c r="E50" s="281" t="s">
        <v>46</v>
      </c>
      <c r="F50" s="275"/>
      <c r="G50" s="281">
        <f t="shared" si="5"/>
        <v>5000</v>
      </c>
      <c r="H50" s="275"/>
      <c r="I50" s="138">
        <v>30</v>
      </c>
      <c r="J50" s="275"/>
      <c r="K50" s="231">
        <f t="shared" si="6"/>
        <v>150000</v>
      </c>
      <c r="L50" s="280"/>
      <c r="M50" s="237">
        <f t="shared" si="7"/>
        <v>30</v>
      </c>
      <c r="N50" s="280"/>
      <c r="O50" s="132">
        <f t="shared" si="9"/>
        <v>0.0821917808219178</v>
      </c>
      <c r="P50" s="280"/>
      <c r="Q50" s="237">
        <f t="shared" si="8"/>
        <v>0.1243420234591951</v>
      </c>
      <c r="R50" s="280"/>
    </row>
    <row r="51" spans="1:18" ht="14.25">
      <c r="A51" s="284" t="s">
        <v>203</v>
      </c>
      <c r="B51" s="275"/>
      <c r="C51" s="134">
        <v>1</v>
      </c>
      <c r="D51" s="275"/>
      <c r="E51" s="281" t="s">
        <v>46</v>
      </c>
      <c r="F51" s="275"/>
      <c r="G51" s="281">
        <f t="shared" si="5"/>
        <v>5000</v>
      </c>
      <c r="H51" s="275"/>
      <c r="I51" s="138">
        <v>7</v>
      </c>
      <c r="J51" s="275"/>
      <c r="K51" s="231">
        <f t="shared" si="6"/>
        <v>35000</v>
      </c>
      <c r="L51" s="280"/>
      <c r="M51" s="237">
        <f t="shared" si="7"/>
        <v>7</v>
      </c>
      <c r="N51" s="280"/>
      <c r="O51" s="132"/>
      <c r="P51" s="280"/>
      <c r="Q51" s="237">
        <f t="shared" si="8"/>
        <v>0.02901313880714552</v>
      </c>
      <c r="R51" s="280"/>
    </row>
    <row r="52" spans="1:18" ht="14.25">
      <c r="A52" s="283" t="s">
        <v>67</v>
      </c>
      <c r="B52" s="275"/>
      <c r="C52" s="134">
        <v>1</v>
      </c>
      <c r="D52" s="275"/>
      <c r="E52" s="281" t="s">
        <v>46</v>
      </c>
      <c r="F52" s="275"/>
      <c r="G52" s="281">
        <f t="shared" si="5"/>
        <v>5000</v>
      </c>
      <c r="H52" s="275"/>
      <c r="I52" s="138">
        <v>62</v>
      </c>
      <c r="J52" s="275"/>
      <c r="K52" s="231">
        <f t="shared" si="6"/>
        <v>310000</v>
      </c>
      <c r="L52" s="280"/>
      <c r="M52" s="237">
        <f t="shared" si="7"/>
        <v>62</v>
      </c>
      <c r="N52" s="280"/>
      <c r="O52" s="132">
        <f t="shared" si="9"/>
        <v>0.16986301369863013</v>
      </c>
      <c r="P52" s="280"/>
      <c r="Q52" s="237">
        <f t="shared" si="8"/>
        <v>0.2569735151490032</v>
      </c>
      <c r="R52" s="280"/>
    </row>
    <row r="53" spans="1:18" ht="14.25">
      <c r="A53" s="283" t="s">
        <v>253</v>
      </c>
      <c r="B53" s="275"/>
      <c r="C53" s="134">
        <v>1</v>
      </c>
      <c r="D53" s="275"/>
      <c r="E53" s="281" t="s">
        <v>46</v>
      </c>
      <c r="F53" s="275"/>
      <c r="G53" s="281">
        <f t="shared" si="5"/>
        <v>5000</v>
      </c>
      <c r="H53" s="275"/>
      <c r="I53" s="138">
        <v>27</v>
      </c>
      <c r="J53" s="275"/>
      <c r="K53" s="231">
        <f t="shared" si="6"/>
        <v>135000</v>
      </c>
      <c r="L53" s="280"/>
      <c r="M53" s="237">
        <f t="shared" si="7"/>
        <v>27</v>
      </c>
      <c r="N53" s="280"/>
      <c r="O53" s="132"/>
      <c r="P53" s="280"/>
      <c r="Q53" s="237">
        <f t="shared" si="8"/>
        <v>0.11190782111327557</v>
      </c>
      <c r="R53" s="280"/>
    </row>
    <row r="54" spans="1:21" ht="14.25">
      <c r="A54" s="295" t="s">
        <v>66</v>
      </c>
      <c r="B54" s="275"/>
      <c r="C54" s="134">
        <v>1</v>
      </c>
      <c r="D54" s="275"/>
      <c r="E54" s="281" t="s">
        <v>206</v>
      </c>
      <c r="F54" s="275"/>
      <c r="G54" s="281">
        <f t="shared" si="5"/>
        <v>5000</v>
      </c>
      <c r="H54" s="275"/>
      <c r="I54" s="138">
        <v>95</v>
      </c>
      <c r="J54" s="275"/>
      <c r="K54" s="231">
        <f t="shared" si="6"/>
        <v>475000</v>
      </c>
      <c r="L54" s="280"/>
      <c r="M54" s="237">
        <f t="shared" si="7"/>
        <v>95</v>
      </c>
      <c r="N54" s="280"/>
      <c r="O54" s="132">
        <f t="shared" si="9"/>
        <v>0.2602739726027397</v>
      </c>
      <c r="P54" s="280"/>
      <c r="Q54" s="237">
        <f t="shared" si="8"/>
        <v>0.39374974095411774</v>
      </c>
      <c r="R54" s="280"/>
      <c r="T54" s="381"/>
      <c r="U54" s="381"/>
    </row>
    <row r="55" spans="1:18" ht="14.25">
      <c r="A55" s="118"/>
      <c r="B55" s="277"/>
      <c r="C55" s="135"/>
      <c r="D55" s="277"/>
      <c r="E55" s="288"/>
      <c r="F55" s="277"/>
      <c r="G55" s="288"/>
      <c r="H55" s="277"/>
      <c r="I55" s="110"/>
      <c r="J55" s="275"/>
      <c r="K55" s="103"/>
      <c r="L55" s="280"/>
      <c r="M55" s="103"/>
      <c r="N55" s="280"/>
      <c r="O55" s="103"/>
      <c r="P55" s="280"/>
      <c r="Q55" s="103"/>
      <c r="R55" s="280"/>
    </row>
    <row r="56" spans="1:20" ht="14.25">
      <c r="A56" s="27" t="s">
        <v>48</v>
      </c>
      <c r="B56" s="275"/>
      <c r="C56" s="275"/>
      <c r="D56" s="275"/>
      <c r="E56" s="276"/>
      <c r="F56" s="275"/>
      <c r="G56" s="276"/>
      <c r="H56" s="275"/>
      <c r="I56" s="275"/>
      <c r="J56" s="275"/>
      <c r="K56" s="30">
        <f>K41+K16</f>
        <v>18588365.322271124</v>
      </c>
      <c r="L56" s="28"/>
      <c r="M56" s="30">
        <f>M41+M16</f>
        <v>3723.492658018461</v>
      </c>
      <c r="N56" s="28"/>
      <c r="O56" s="30">
        <f>M56/365</f>
        <v>10.201349747995783</v>
      </c>
      <c r="P56" s="28"/>
      <c r="Q56" s="30">
        <f>Q41+Q16</f>
        <v>15.408766379799495</v>
      </c>
      <c r="R56" s="28"/>
      <c r="S56" s="381"/>
      <c r="T56" s="381"/>
    </row>
    <row r="57" spans="1:18" ht="6" customHeight="1">
      <c r="A57" s="275"/>
      <c r="B57" s="275"/>
      <c r="C57" s="275"/>
      <c r="D57" s="275"/>
      <c r="E57" s="276"/>
      <c r="F57" s="275"/>
      <c r="G57" s="276"/>
      <c r="H57" s="275"/>
      <c r="I57" s="275"/>
      <c r="J57" s="275"/>
      <c r="K57" s="230"/>
      <c r="L57" s="280"/>
      <c r="M57" s="103"/>
      <c r="N57" s="280"/>
      <c r="O57" s="103"/>
      <c r="P57" s="280"/>
      <c r="Q57" s="103"/>
      <c r="R57" s="280"/>
    </row>
    <row r="58" spans="1:20" ht="14.25">
      <c r="A58" s="139" t="s">
        <v>49</v>
      </c>
      <c r="B58" s="289"/>
      <c r="C58" s="289"/>
      <c r="D58" s="289"/>
      <c r="E58" s="290"/>
      <c r="F58" s="289"/>
      <c r="G58" s="290"/>
      <c r="H58" s="289"/>
      <c r="I58" s="289"/>
      <c r="J58" s="289"/>
      <c r="K58" s="401">
        <f>K8-K56</f>
        <v>11511442.177728876</v>
      </c>
      <c r="L58" s="402"/>
      <c r="M58" s="403">
        <f>M8-M56</f>
        <v>2296.4688419815384</v>
      </c>
      <c r="N58" s="404"/>
      <c r="O58" s="403">
        <f>O8-O56</f>
        <v>6.291695457483668</v>
      </c>
      <c r="P58" s="404"/>
      <c r="Q58" s="403">
        <f>Q8-Q56</f>
        <v>9.542373422082214</v>
      </c>
      <c r="R58" s="33"/>
      <c r="S58" s="381"/>
      <c r="T58" s="381"/>
    </row>
    <row r="59" spans="1:18" ht="6.75" customHeight="1">
      <c r="A59" s="275"/>
      <c r="B59" s="275"/>
      <c r="C59" s="275"/>
      <c r="D59" s="275"/>
      <c r="E59" s="276"/>
      <c r="F59" s="275"/>
      <c r="G59" s="276"/>
      <c r="H59" s="275"/>
      <c r="I59" s="278"/>
      <c r="J59" s="275"/>
      <c r="K59" s="231"/>
      <c r="L59" s="280"/>
      <c r="M59" s="279"/>
      <c r="N59" s="280"/>
      <c r="O59" s="279"/>
      <c r="P59" s="280"/>
      <c r="Q59" s="279"/>
      <c r="R59" s="280"/>
    </row>
    <row r="60" spans="1:18" ht="14.25">
      <c r="A60" s="293" t="s">
        <v>50</v>
      </c>
      <c r="B60" s="275"/>
      <c r="C60" s="275"/>
      <c r="D60" s="275"/>
      <c r="E60" s="276"/>
      <c r="F60" s="275"/>
      <c r="G60" s="276"/>
      <c r="H60" s="275"/>
      <c r="I60" s="278"/>
      <c r="J60" s="275"/>
      <c r="K60" s="232"/>
      <c r="L60" s="280"/>
      <c r="M60" s="29"/>
      <c r="N60" s="28"/>
      <c r="O60" s="29"/>
      <c r="P60" s="28"/>
      <c r="Q60" s="29"/>
      <c r="R60" s="28"/>
    </row>
    <row r="61" spans="1:18" ht="6.75" customHeight="1">
      <c r="A61" s="275"/>
      <c r="B61" s="275"/>
      <c r="C61" s="275"/>
      <c r="D61" s="275"/>
      <c r="E61" s="276"/>
      <c r="F61" s="275"/>
      <c r="G61" s="276"/>
      <c r="H61" s="275"/>
      <c r="I61" s="278"/>
      <c r="J61" s="275"/>
      <c r="K61" s="231"/>
      <c r="L61" s="280"/>
      <c r="M61" s="279"/>
      <c r="N61" s="280"/>
      <c r="O61" s="279"/>
      <c r="P61" s="280"/>
      <c r="Q61" s="279"/>
      <c r="R61" s="280"/>
    </row>
    <row r="62" spans="1:18" ht="14.25">
      <c r="A62" s="283" t="s">
        <v>155</v>
      </c>
      <c r="B62" s="275"/>
      <c r="C62" s="134">
        <v>1</v>
      </c>
      <c r="D62" s="275"/>
      <c r="E62" s="281" t="s">
        <v>46</v>
      </c>
      <c r="F62" s="275"/>
      <c r="G62" s="281">
        <f>TotalCows</f>
        <v>5000</v>
      </c>
      <c r="H62" s="275"/>
      <c r="I62" s="138">
        <f>'T5 Capital Recovery'!I64</f>
        <v>486.6437214994902</v>
      </c>
      <c r="J62" s="275"/>
      <c r="K62" s="231">
        <f>C62*G62*I62</f>
        <v>2433218.607497451</v>
      </c>
      <c r="L62" s="280"/>
      <c r="M62" s="237">
        <f>K62/TotalCows</f>
        <v>486.6437214994902</v>
      </c>
      <c r="N62" s="280"/>
      <c r="O62" s="132">
        <f>M62/365</f>
        <v>1.333270469861617</v>
      </c>
      <c r="P62" s="280"/>
      <c r="Q62" s="231">
        <f>K62/MProd/TotalCows</f>
        <v>2.0170088344986534</v>
      </c>
      <c r="R62" s="280"/>
    </row>
    <row r="63" spans="1:18" ht="14.25">
      <c r="A63" s="234" t="s">
        <v>182</v>
      </c>
      <c r="B63" s="233"/>
      <c r="C63" s="236">
        <v>1</v>
      </c>
      <c r="D63" s="233"/>
      <c r="E63" s="235" t="s">
        <v>183</v>
      </c>
      <c r="F63" s="275"/>
      <c r="G63" s="281">
        <v>1</v>
      </c>
      <c r="H63" s="275"/>
      <c r="I63" s="138">
        <v>38280.575</v>
      </c>
      <c r="J63" s="275"/>
      <c r="K63" s="231">
        <f>C63*G63*I63</f>
        <v>38280.575</v>
      </c>
      <c r="L63" s="280"/>
      <c r="M63" s="237">
        <f>K63/TotalCows</f>
        <v>7.656115</v>
      </c>
      <c r="N63" s="280"/>
      <c r="O63" s="132">
        <f>M63/365</f>
        <v>0.020975657534246576</v>
      </c>
      <c r="P63" s="280"/>
      <c r="Q63" s="231">
        <f>K63/MProd/TotalCows</f>
        <v>0.03173256103120985</v>
      </c>
      <c r="R63" s="280"/>
    </row>
    <row r="64" spans="1:18" ht="14.25">
      <c r="A64" s="234" t="s">
        <v>228</v>
      </c>
      <c r="B64" s="233"/>
      <c r="C64" s="236">
        <v>1</v>
      </c>
      <c r="D64" s="233"/>
      <c r="E64" s="235" t="s">
        <v>183</v>
      </c>
      <c r="F64" s="275"/>
      <c r="G64" s="281">
        <v>1</v>
      </c>
      <c r="H64" s="275"/>
      <c r="I64" s="138">
        <f>K56*0.025</f>
        <v>464709.1330567781</v>
      </c>
      <c r="J64" s="275"/>
      <c r="K64" s="231">
        <f>C64*G64*I64</f>
        <v>464709.1330567781</v>
      </c>
      <c r="L64" s="280"/>
      <c r="M64" s="237">
        <f>K64/TotalCows</f>
        <v>92.94182661135562</v>
      </c>
      <c r="N64" s="280"/>
      <c r="O64" s="132">
        <f>M64/365</f>
        <v>0.2546351414009743</v>
      </c>
      <c r="P64" s="280"/>
      <c r="Q64" s="231">
        <f>K64/MProd/TotalCows</f>
        <v>0.3852191594949874</v>
      </c>
      <c r="R64" s="280"/>
    </row>
    <row r="65" spans="1:18" ht="14.25">
      <c r="A65" s="234" t="s">
        <v>229</v>
      </c>
      <c r="B65" s="275"/>
      <c r="C65" s="283"/>
      <c r="D65" s="275"/>
      <c r="E65" s="281"/>
      <c r="F65" s="275"/>
      <c r="G65" s="281"/>
      <c r="H65" s="275"/>
      <c r="I65" s="138"/>
      <c r="J65" s="275"/>
      <c r="K65" s="231">
        <f>C65*G65*I65</f>
        <v>0</v>
      </c>
      <c r="L65" s="280"/>
      <c r="M65" s="237">
        <f>K65/TotalCows</f>
        <v>0</v>
      </c>
      <c r="N65" s="280"/>
      <c r="O65" s="132">
        <f>M65/365</f>
        <v>0</v>
      </c>
      <c r="P65" s="280"/>
      <c r="Q65" s="231">
        <f>K65/MProd/TotalCows</f>
        <v>0</v>
      </c>
      <c r="R65" s="280"/>
    </row>
    <row r="66" spans="1:18" ht="14.25">
      <c r="A66" s="275"/>
      <c r="B66" s="275"/>
      <c r="C66" s="275"/>
      <c r="D66" s="275"/>
      <c r="E66" s="276"/>
      <c r="F66" s="275"/>
      <c r="G66" s="276"/>
      <c r="H66" s="275"/>
      <c r="I66" s="278"/>
      <c r="J66" s="275"/>
      <c r="K66" s="230"/>
      <c r="L66" s="280"/>
      <c r="M66" s="103"/>
      <c r="N66" s="280"/>
      <c r="O66" s="103"/>
      <c r="P66" s="280"/>
      <c r="Q66" s="103"/>
      <c r="R66" s="280"/>
    </row>
    <row r="67" spans="1:18" ht="14.25">
      <c r="A67" s="27" t="s">
        <v>78</v>
      </c>
      <c r="B67" s="275"/>
      <c r="C67" s="275"/>
      <c r="D67" s="275"/>
      <c r="E67" s="276"/>
      <c r="F67" s="275"/>
      <c r="G67" s="276"/>
      <c r="H67" s="275"/>
      <c r="I67" s="275"/>
      <c r="J67" s="275"/>
      <c r="K67" s="229">
        <f>SUM(K62:K65)</f>
        <v>2936208.315554229</v>
      </c>
      <c r="L67" s="28"/>
      <c r="M67" s="31">
        <f>SUM(M62:M65)</f>
        <v>587.2416631108458</v>
      </c>
      <c r="N67" s="28"/>
      <c r="O67" s="31">
        <f>SUM(O62:O65)</f>
        <v>1.608881268796838</v>
      </c>
      <c r="P67" s="28"/>
      <c r="Q67" s="31">
        <f>SUM(Q62:Q65)</f>
        <v>2.433960555024851</v>
      </c>
      <c r="R67" s="28"/>
    </row>
    <row r="68" spans="1:18" ht="14.25">
      <c r="A68" s="275"/>
      <c r="B68" s="275"/>
      <c r="C68" s="275"/>
      <c r="D68" s="275"/>
      <c r="E68" s="276"/>
      <c r="F68" s="275"/>
      <c r="G68" s="276"/>
      <c r="H68" s="275"/>
      <c r="I68" s="278"/>
      <c r="J68" s="275"/>
      <c r="K68" s="230"/>
      <c r="L68" s="280"/>
      <c r="M68" s="103"/>
      <c r="N68" s="280"/>
      <c r="O68" s="103"/>
      <c r="P68" s="280"/>
      <c r="Q68" s="103"/>
      <c r="R68" s="280"/>
    </row>
    <row r="69" spans="1:20" ht="14.25">
      <c r="A69" s="27" t="s">
        <v>69</v>
      </c>
      <c r="B69" s="275"/>
      <c r="C69" s="275"/>
      <c r="D69" s="275"/>
      <c r="E69" s="276"/>
      <c r="F69" s="275"/>
      <c r="G69" s="276"/>
      <c r="H69" s="275"/>
      <c r="I69" s="275"/>
      <c r="J69" s="275"/>
      <c r="K69" s="229">
        <f>K67+K56</f>
        <v>21524573.63782535</v>
      </c>
      <c r="L69" s="28"/>
      <c r="M69" s="31">
        <f>M67+M56</f>
        <v>4310.734321129306</v>
      </c>
      <c r="N69" s="28"/>
      <c r="O69" s="31">
        <f>O67+O56</f>
        <v>11.81023101679262</v>
      </c>
      <c r="P69" s="31">
        <f>P60+P56</f>
        <v>0</v>
      </c>
      <c r="Q69" s="31">
        <f>Q67+Q56</f>
        <v>17.842726934824345</v>
      </c>
      <c r="R69" s="28"/>
      <c r="T69" s="381"/>
    </row>
    <row r="70" spans="1:18" ht="14.25">
      <c r="A70" s="275"/>
      <c r="B70" s="275"/>
      <c r="C70" s="275"/>
      <c r="D70" s="275"/>
      <c r="E70" s="276"/>
      <c r="F70" s="275"/>
      <c r="G70" s="276"/>
      <c r="H70" s="275"/>
      <c r="I70" s="275"/>
      <c r="J70" s="275"/>
      <c r="K70" s="229"/>
      <c r="L70" s="28"/>
      <c r="M70" s="31"/>
      <c r="N70" s="28"/>
      <c r="O70" s="31"/>
      <c r="P70" s="28"/>
      <c r="Q70" s="31"/>
      <c r="R70" s="28"/>
    </row>
    <row r="71" spans="1:20" ht="14.25">
      <c r="A71" s="139" t="s">
        <v>68</v>
      </c>
      <c r="B71" s="289"/>
      <c r="C71" s="289"/>
      <c r="D71" s="289"/>
      <c r="E71" s="290"/>
      <c r="F71" s="289"/>
      <c r="G71" s="290"/>
      <c r="H71" s="289"/>
      <c r="I71" s="289"/>
      <c r="J71" s="289"/>
      <c r="K71" s="401">
        <f>K8-K69</f>
        <v>8575233.862174649</v>
      </c>
      <c r="L71" s="402"/>
      <c r="M71" s="403">
        <f>M8-M69</f>
        <v>1709.227178870693</v>
      </c>
      <c r="N71" s="404"/>
      <c r="O71" s="403">
        <f>O8-O69</f>
        <v>4.68281418868683</v>
      </c>
      <c r="P71" s="404"/>
      <c r="Q71" s="403">
        <f>Q8-Q69</f>
        <v>7.108412867057364</v>
      </c>
      <c r="R71" s="32"/>
      <c r="S71" s="381"/>
      <c r="T71" s="381"/>
    </row>
    <row r="72" spans="1:19" s="124" customFormat="1" ht="14.25">
      <c r="A72" s="144"/>
      <c r="B72" s="119"/>
      <c r="C72" s="119"/>
      <c r="D72" s="119"/>
      <c r="E72" s="120"/>
      <c r="F72" s="119"/>
      <c r="G72" s="120"/>
      <c r="H72" s="119"/>
      <c r="I72" s="119"/>
      <c r="J72" s="119"/>
      <c r="K72" s="121"/>
      <c r="L72" s="122"/>
      <c r="M72" s="123"/>
      <c r="N72" s="122"/>
      <c r="O72" s="123"/>
      <c r="P72" s="122"/>
      <c r="Q72" s="123"/>
      <c r="R72" s="122"/>
      <c r="S72" s="410"/>
    </row>
    <row r="73" spans="1:18" s="124" customFormat="1" ht="15">
      <c r="A73" s="140" t="s">
        <v>152</v>
      </c>
      <c r="B73" s="145"/>
      <c r="C73" s="145"/>
      <c r="D73" s="145"/>
      <c r="E73" s="146"/>
      <c r="F73" s="145"/>
      <c r="G73" s="146"/>
      <c r="H73" s="145"/>
      <c r="I73" s="145"/>
      <c r="J73" s="145"/>
      <c r="K73" s="147"/>
      <c r="L73" s="148"/>
      <c r="M73" s="149"/>
      <c r="N73" s="148"/>
      <c r="O73" s="149"/>
      <c r="P73" s="148"/>
      <c r="Q73" s="149"/>
      <c r="R73" s="148"/>
    </row>
    <row r="74" spans="1:18" s="269" customFormat="1" ht="15">
      <c r="A74" s="125" t="s">
        <v>154</v>
      </c>
      <c r="B74" s="150"/>
      <c r="C74" s="150"/>
      <c r="D74" s="150"/>
      <c r="E74" s="151"/>
      <c r="F74" s="150"/>
      <c r="G74" s="151"/>
      <c r="H74" s="150"/>
      <c r="I74" s="150"/>
      <c r="J74" s="150"/>
      <c r="K74" s="150"/>
      <c r="L74" s="150"/>
      <c r="M74" s="150"/>
      <c r="N74" s="150"/>
      <c r="O74" s="150"/>
      <c r="P74" s="150"/>
      <c r="Q74" s="150"/>
      <c r="R74" s="150"/>
    </row>
    <row r="75" spans="1:18" s="130" customFormat="1" ht="15">
      <c r="A75" s="127" t="s">
        <v>153</v>
      </c>
      <c r="B75" s="152"/>
      <c r="C75" s="153"/>
      <c r="D75" s="152"/>
      <c r="E75" s="154"/>
      <c r="F75" s="152"/>
      <c r="G75" s="152"/>
      <c r="H75" s="152"/>
      <c r="I75" s="152"/>
      <c r="J75" s="152"/>
      <c r="K75" s="152"/>
      <c r="L75" s="152"/>
      <c r="M75" s="152"/>
      <c r="N75" s="152"/>
      <c r="O75" s="152"/>
      <c r="P75" s="152"/>
      <c r="Q75" s="150"/>
      <c r="R75" s="152"/>
    </row>
    <row r="76" spans="1:18" s="130" customFormat="1" ht="15">
      <c r="A76" s="125" t="s">
        <v>150</v>
      </c>
      <c r="B76" s="152"/>
      <c r="C76" s="153"/>
      <c r="D76" s="152"/>
      <c r="E76" s="154"/>
      <c r="F76" s="152"/>
      <c r="G76" s="152"/>
      <c r="H76" s="152"/>
      <c r="I76" s="152"/>
      <c r="J76" s="152"/>
      <c r="K76" s="152"/>
      <c r="L76" s="152"/>
      <c r="M76" s="152"/>
      <c r="N76" s="152"/>
      <c r="O76" s="152"/>
      <c r="P76" s="152"/>
      <c r="Q76" s="150"/>
      <c r="R76" s="152"/>
    </row>
    <row r="77" spans="1:18" s="130" customFormat="1" ht="15">
      <c r="A77" s="127" t="s">
        <v>146</v>
      </c>
      <c r="B77" s="152"/>
      <c r="C77" s="153"/>
      <c r="D77" s="152"/>
      <c r="E77" s="154"/>
      <c r="F77" s="152"/>
      <c r="G77" s="152"/>
      <c r="H77" s="152"/>
      <c r="I77" s="152"/>
      <c r="J77" s="152"/>
      <c r="K77" s="152"/>
      <c r="L77" s="152"/>
      <c r="M77" s="152"/>
      <c r="N77" s="152"/>
      <c r="O77" s="152"/>
      <c r="P77" s="152"/>
      <c r="Q77" s="150"/>
      <c r="R77" s="152"/>
    </row>
    <row r="78" spans="1:18" ht="15">
      <c r="A78" s="366" t="s">
        <v>151</v>
      </c>
      <c r="B78" s="152"/>
      <c r="C78" s="155"/>
      <c r="D78" s="152"/>
      <c r="E78" s="154"/>
      <c r="F78" s="152"/>
      <c r="G78" s="152"/>
      <c r="H78" s="152"/>
      <c r="I78" s="152"/>
      <c r="J78" s="152"/>
      <c r="K78" s="152"/>
      <c r="L78" s="152"/>
      <c r="M78" s="152"/>
      <c r="N78" s="152"/>
      <c r="O78" s="152"/>
      <c r="P78" s="152"/>
      <c r="Q78" s="150"/>
      <c r="R78" s="152"/>
    </row>
    <row r="79" spans="1:18" ht="15">
      <c r="A79" s="366" t="s">
        <v>147</v>
      </c>
      <c r="B79" s="150"/>
      <c r="C79" s="155"/>
      <c r="D79" s="150"/>
      <c r="E79" s="151"/>
      <c r="F79" s="150"/>
      <c r="G79" s="150"/>
      <c r="H79" s="150"/>
      <c r="I79" s="150"/>
      <c r="J79" s="150"/>
      <c r="K79" s="150"/>
      <c r="L79" s="150"/>
      <c r="M79" s="150"/>
      <c r="N79" s="150"/>
      <c r="O79" s="150"/>
      <c r="P79" s="150"/>
      <c r="Q79" s="150"/>
      <c r="R79" s="150"/>
    </row>
    <row r="80" spans="1:18" s="124" customFormat="1" ht="15">
      <c r="A80" s="366" t="s">
        <v>148</v>
      </c>
      <c r="B80" s="145"/>
      <c r="C80" s="145"/>
      <c r="D80" s="145"/>
      <c r="E80" s="146"/>
      <c r="F80" s="145"/>
      <c r="G80" s="146"/>
      <c r="H80" s="145"/>
      <c r="I80" s="145"/>
      <c r="J80" s="145"/>
      <c r="K80" s="147"/>
      <c r="L80" s="148"/>
      <c r="M80" s="149"/>
      <c r="N80" s="148"/>
      <c r="O80" s="149"/>
      <c r="P80" s="148"/>
      <c r="Q80" s="149"/>
      <c r="R80" s="148"/>
    </row>
    <row r="81" spans="1:18" ht="15">
      <c r="A81" s="156"/>
      <c r="B81" s="156"/>
      <c r="C81" s="157"/>
      <c r="D81" s="156"/>
      <c r="E81" s="158"/>
      <c r="F81" s="156"/>
      <c r="G81" s="156"/>
      <c r="H81" s="156"/>
      <c r="I81" s="156"/>
      <c r="J81" s="156"/>
      <c r="K81" s="156"/>
      <c r="L81" s="156"/>
      <c r="M81" s="156"/>
      <c r="N81" s="156"/>
      <c r="O81" s="156"/>
      <c r="P81" s="156"/>
      <c r="Q81" s="156"/>
      <c r="R81" s="156"/>
    </row>
    <row r="82" spans="1:18" ht="14.25">
      <c r="A82" s="27"/>
      <c r="B82" s="275"/>
      <c r="C82" s="275"/>
      <c r="D82" s="275"/>
      <c r="E82" s="276"/>
      <c r="F82" s="275"/>
      <c r="G82" s="276"/>
      <c r="H82" s="275"/>
      <c r="I82" s="275"/>
      <c r="J82" s="275"/>
      <c r="K82" s="275"/>
      <c r="L82" s="277"/>
      <c r="M82" s="275"/>
      <c r="N82" s="277"/>
      <c r="O82" s="275"/>
      <c r="P82" s="277"/>
      <c r="Q82" s="275"/>
      <c r="R82" s="277"/>
    </row>
    <row r="83" spans="1:18" ht="14.25">
      <c r="A83" s="27"/>
      <c r="B83" s="275"/>
      <c r="C83" s="275"/>
      <c r="D83" s="275"/>
      <c r="E83" s="276"/>
      <c r="F83" s="275"/>
      <c r="G83" s="276"/>
      <c r="H83" s="275"/>
      <c r="I83" s="275"/>
      <c r="J83" s="275"/>
      <c r="K83" s="275"/>
      <c r="L83" s="277"/>
      <c r="M83" s="275"/>
      <c r="N83" s="277"/>
      <c r="O83" s="275"/>
      <c r="P83" s="277"/>
      <c r="Q83" s="275"/>
      <c r="R83" s="277"/>
    </row>
    <row r="84" spans="1:18" ht="18">
      <c r="A84" s="27"/>
      <c r="B84" s="275"/>
      <c r="C84" s="275"/>
      <c r="D84" s="178" t="s">
        <v>149</v>
      </c>
      <c r="E84" s="276"/>
      <c r="F84" s="275"/>
      <c r="G84" s="276"/>
      <c r="H84" s="275"/>
      <c r="I84" s="275"/>
      <c r="J84" s="275"/>
      <c r="K84" s="275"/>
      <c r="L84" s="277"/>
      <c r="M84" s="275"/>
      <c r="N84" s="277"/>
      <c r="O84" s="275"/>
      <c r="P84" s="277"/>
      <c r="Q84" s="275"/>
      <c r="R84" s="277"/>
    </row>
    <row r="85" spans="1:18" ht="15">
      <c r="A85" s="159"/>
      <c r="B85" s="159"/>
      <c r="C85" s="159"/>
      <c r="D85" s="159"/>
      <c r="E85" s="160"/>
      <c r="F85" s="159"/>
      <c r="G85" s="160"/>
      <c r="H85" s="159"/>
      <c r="I85" s="142"/>
      <c r="J85" s="142"/>
      <c r="K85" s="142"/>
      <c r="L85" s="142"/>
      <c r="M85" s="275"/>
      <c r="N85" s="277"/>
      <c r="O85" s="275"/>
      <c r="P85" s="277"/>
      <c r="Q85" s="275"/>
      <c r="R85" s="277"/>
    </row>
    <row r="86" spans="1:18" ht="15">
      <c r="A86" s="159"/>
      <c r="B86" s="159"/>
      <c r="C86" s="161"/>
      <c r="D86" s="159"/>
      <c r="E86" s="162" t="s">
        <v>72</v>
      </c>
      <c r="F86" s="159"/>
      <c r="G86" s="159"/>
      <c r="H86" s="159"/>
      <c r="I86" s="142"/>
      <c r="J86" s="142"/>
      <c r="K86" s="142"/>
      <c r="L86" s="142"/>
      <c r="M86" s="275"/>
      <c r="N86" s="277"/>
      <c r="O86" s="275"/>
      <c r="P86" s="277"/>
      <c r="Q86" s="275"/>
      <c r="R86" s="277"/>
    </row>
    <row r="87" spans="1:18" ht="15">
      <c r="A87" s="163"/>
      <c r="B87" s="159"/>
      <c r="C87" s="161" t="s">
        <v>76</v>
      </c>
      <c r="D87" s="159"/>
      <c r="E87" s="162" t="s">
        <v>80</v>
      </c>
      <c r="F87" s="159"/>
      <c r="G87" s="161" t="s">
        <v>77</v>
      </c>
      <c r="H87" s="159"/>
      <c r="I87" s="142"/>
      <c r="J87" s="142"/>
      <c r="K87" s="142"/>
      <c r="L87" s="142"/>
      <c r="M87" s="275"/>
      <c r="N87" s="277"/>
      <c r="O87" s="275"/>
      <c r="P87" s="277"/>
      <c r="Q87" s="275"/>
      <c r="R87" s="277"/>
    </row>
    <row r="88" spans="1:18" ht="15">
      <c r="A88" s="159"/>
      <c r="B88" s="159"/>
      <c r="C88" s="164">
        <v>0.05</v>
      </c>
      <c r="D88" s="165"/>
      <c r="E88" s="166" t="s">
        <v>79</v>
      </c>
      <c r="F88" s="165"/>
      <c r="G88" s="164">
        <v>0.05</v>
      </c>
      <c r="H88" s="165"/>
      <c r="I88" s="142"/>
      <c r="J88" s="142"/>
      <c r="K88" s="142"/>
      <c r="L88" s="142"/>
      <c r="M88" s="275"/>
      <c r="N88" s="277"/>
      <c r="O88" s="275"/>
      <c r="P88" s="277"/>
      <c r="Q88" s="275"/>
      <c r="R88" s="277"/>
    </row>
    <row r="89" spans="1:33" ht="15">
      <c r="A89" s="167"/>
      <c r="B89" s="159"/>
      <c r="C89" s="168">
        <f>E89*(1-C88)</f>
        <v>229.2065</v>
      </c>
      <c r="D89" s="169"/>
      <c r="E89" s="170">
        <f>$C$9</f>
        <v>241.27</v>
      </c>
      <c r="F89" s="169"/>
      <c r="G89" s="168">
        <f>$E$89*(1+$G$88)</f>
        <v>253.33350000000002</v>
      </c>
      <c r="H89" s="171"/>
      <c r="I89" s="142"/>
      <c r="J89" s="142"/>
      <c r="K89" s="142"/>
      <c r="L89" s="142"/>
      <c r="M89" s="141"/>
      <c r="N89" s="142"/>
      <c r="O89" s="141"/>
      <c r="P89" s="142"/>
      <c r="Q89" s="141"/>
      <c r="R89" s="142"/>
      <c r="S89" s="363"/>
      <c r="T89" s="363"/>
      <c r="U89" s="363"/>
      <c r="V89" s="363"/>
      <c r="W89" s="363"/>
      <c r="X89" s="363"/>
      <c r="Y89" s="363"/>
      <c r="Z89" s="363"/>
      <c r="AA89" s="363"/>
      <c r="AB89" s="363"/>
      <c r="AC89" s="363"/>
      <c r="AD89" s="363"/>
      <c r="AE89" s="363"/>
      <c r="AF89" s="363"/>
      <c r="AG89" s="363"/>
    </row>
    <row r="90" spans="1:33" ht="15">
      <c r="A90" s="167"/>
      <c r="B90" s="159"/>
      <c r="C90" s="172"/>
      <c r="D90" s="159"/>
      <c r="E90" s="160"/>
      <c r="F90" s="159"/>
      <c r="G90" s="172"/>
      <c r="H90" s="173"/>
      <c r="I90" s="142"/>
      <c r="J90" s="142"/>
      <c r="K90" s="142"/>
      <c r="L90" s="142"/>
      <c r="M90" s="141"/>
      <c r="N90" s="142"/>
      <c r="O90" s="141"/>
      <c r="P90" s="142"/>
      <c r="Q90" s="141"/>
      <c r="R90" s="142"/>
      <c r="S90" s="363"/>
      <c r="T90" s="363"/>
      <c r="U90" s="363"/>
      <c r="V90" s="363"/>
      <c r="W90" s="363"/>
      <c r="X90" s="363"/>
      <c r="Y90" s="363"/>
      <c r="Z90" s="363"/>
      <c r="AA90" s="363"/>
      <c r="AB90" s="363"/>
      <c r="AC90" s="363"/>
      <c r="AD90" s="363"/>
      <c r="AE90" s="363"/>
      <c r="AF90" s="363"/>
      <c r="AG90" s="363"/>
    </row>
    <row r="91" spans="1:33" ht="15">
      <c r="A91" s="159" t="s">
        <v>73</v>
      </c>
      <c r="B91" s="167"/>
      <c r="C91" s="174">
        <f>$M$56/C89</f>
        <v>16.245144260823583</v>
      </c>
      <c r="D91" s="167"/>
      <c r="E91" s="174">
        <f>$M$56/E89</f>
        <v>15.432887047782405</v>
      </c>
      <c r="F91" s="159"/>
      <c r="G91" s="174">
        <f>$M$56/G89</f>
        <v>14.697987664554672</v>
      </c>
      <c r="H91" s="175"/>
      <c r="I91" s="142"/>
      <c r="J91" s="142"/>
      <c r="K91" s="142"/>
      <c r="L91" s="142"/>
      <c r="M91" s="141"/>
      <c r="N91" s="142"/>
      <c r="O91" s="141"/>
      <c r="P91" s="142"/>
      <c r="Q91" s="141"/>
      <c r="R91" s="142"/>
      <c r="S91" s="363"/>
      <c r="T91" s="363"/>
      <c r="U91" s="363"/>
      <c r="V91" s="363"/>
      <c r="W91" s="363"/>
      <c r="X91" s="363"/>
      <c r="Y91" s="363"/>
      <c r="Z91" s="363"/>
      <c r="AA91" s="363"/>
      <c r="AB91" s="363"/>
      <c r="AC91" s="363"/>
      <c r="AD91" s="363"/>
      <c r="AE91" s="363"/>
      <c r="AF91" s="363"/>
      <c r="AG91" s="363"/>
    </row>
    <row r="92" spans="1:33" ht="4.5" customHeight="1">
      <c r="A92" s="159"/>
      <c r="B92" s="159"/>
      <c r="C92" s="172"/>
      <c r="D92" s="159"/>
      <c r="E92" s="160"/>
      <c r="F92" s="159"/>
      <c r="G92" s="172"/>
      <c r="H92" s="171"/>
      <c r="I92" s="142"/>
      <c r="J92" s="142"/>
      <c r="K92" s="142"/>
      <c r="L92" s="142"/>
      <c r="M92" s="141"/>
      <c r="N92" s="142"/>
      <c r="O92" s="141"/>
      <c r="P92" s="142"/>
      <c r="Q92" s="141"/>
      <c r="R92" s="142"/>
      <c r="S92" s="363"/>
      <c r="T92" s="363"/>
      <c r="U92" s="363"/>
      <c r="V92" s="363"/>
      <c r="W92" s="363"/>
      <c r="X92" s="363"/>
      <c r="Y92" s="363"/>
      <c r="Z92" s="363"/>
      <c r="AA92" s="363"/>
      <c r="AB92" s="363"/>
      <c r="AC92" s="363"/>
      <c r="AD92" s="363"/>
      <c r="AE92" s="363"/>
      <c r="AF92" s="363"/>
      <c r="AG92" s="363"/>
    </row>
    <row r="93" spans="1:33" ht="15">
      <c r="A93" s="159" t="s">
        <v>74</v>
      </c>
      <c r="B93" s="159"/>
      <c r="C93" s="174">
        <f>$M$67/C89</f>
        <v>2.5620637421314223</v>
      </c>
      <c r="D93" s="159"/>
      <c r="E93" s="174">
        <f>$M$67/E89</f>
        <v>2.433960555024851</v>
      </c>
      <c r="F93" s="159"/>
      <c r="G93" s="174">
        <f>$M$67/G89</f>
        <v>2.318057671452239</v>
      </c>
      <c r="H93" s="176"/>
      <c r="I93" s="142"/>
      <c r="J93" s="142"/>
      <c r="K93" s="142"/>
      <c r="L93" s="142"/>
      <c r="M93" s="141"/>
      <c r="N93" s="142"/>
      <c r="O93" s="141"/>
      <c r="P93" s="142"/>
      <c r="Q93" s="141"/>
      <c r="R93" s="142"/>
      <c r="S93" s="363"/>
      <c r="T93" s="363"/>
      <c r="U93" s="363"/>
      <c r="V93" s="363"/>
      <c r="W93" s="363"/>
      <c r="X93" s="363"/>
      <c r="Y93" s="363"/>
      <c r="Z93" s="363"/>
      <c r="AA93" s="363"/>
      <c r="AB93" s="363"/>
      <c r="AC93" s="363"/>
      <c r="AD93" s="363"/>
      <c r="AE93" s="363"/>
      <c r="AF93" s="363"/>
      <c r="AG93" s="363"/>
    </row>
    <row r="94" spans="1:33" ht="4.5" customHeight="1">
      <c r="A94" s="159"/>
      <c r="B94" s="159"/>
      <c r="C94" s="172"/>
      <c r="D94" s="159"/>
      <c r="E94" s="160"/>
      <c r="F94" s="159"/>
      <c r="G94" s="172"/>
      <c r="H94" s="171"/>
      <c r="I94" s="142"/>
      <c r="J94" s="142"/>
      <c r="K94" s="142"/>
      <c r="L94" s="142"/>
      <c r="M94" s="141"/>
      <c r="N94" s="142"/>
      <c r="O94" s="141"/>
      <c r="P94" s="142"/>
      <c r="Q94" s="141"/>
      <c r="R94" s="142"/>
      <c r="S94" s="363"/>
      <c r="T94" s="363"/>
      <c r="U94" s="363"/>
      <c r="V94" s="363"/>
      <c r="W94" s="363"/>
      <c r="X94" s="363"/>
      <c r="Y94" s="363"/>
      <c r="Z94" s="363"/>
      <c r="AA94" s="363"/>
      <c r="AB94" s="363"/>
      <c r="AC94" s="363"/>
      <c r="AD94" s="363"/>
      <c r="AE94" s="363"/>
      <c r="AF94" s="363"/>
      <c r="AG94" s="363"/>
    </row>
    <row r="95" spans="1:33" ht="15">
      <c r="A95" s="159" t="s">
        <v>75</v>
      </c>
      <c r="B95" s="159"/>
      <c r="C95" s="174">
        <f>$M$69/C89</f>
        <v>18.807208002955004</v>
      </c>
      <c r="D95" s="159"/>
      <c r="E95" s="174">
        <f>$M$69/E89</f>
        <v>17.866847602807255</v>
      </c>
      <c r="F95" s="159"/>
      <c r="G95" s="174">
        <f>$M$69/G89</f>
        <v>17.016045336006908</v>
      </c>
      <c r="H95" s="176"/>
      <c r="I95" s="142"/>
      <c r="J95" s="142"/>
      <c r="K95" s="142"/>
      <c r="L95" s="142"/>
      <c r="M95" s="141"/>
      <c r="N95" s="142"/>
      <c r="O95" s="141"/>
      <c r="P95" s="142"/>
      <c r="Q95" s="141"/>
      <c r="R95" s="142"/>
      <c r="S95" s="363"/>
      <c r="T95" s="363"/>
      <c r="U95" s="363"/>
      <c r="V95" s="363"/>
      <c r="W95" s="363"/>
      <c r="X95" s="363"/>
      <c r="Y95" s="363"/>
      <c r="Z95" s="363"/>
      <c r="AA95" s="363"/>
      <c r="AB95" s="363"/>
      <c r="AC95" s="363"/>
      <c r="AD95" s="363"/>
      <c r="AE95" s="363"/>
      <c r="AF95" s="363"/>
      <c r="AG95" s="363"/>
    </row>
    <row r="96" spans="1:33" ht="15" customHeight="1">
      <c r="A96" s="159"/>
      <c r="B96" s="159"/>
      <c r="C96" s="171"/>
      <c r="D96" s="159"/>
      <c r="E96" s="177"/>
      <c r="F96" s="165"/>
      <c r="G96" s="171"/>
      <c r="H96" s="171"/>
      <c r="I96" s="142"/>
      <c r="J96" s="142"/>
      <c r="K96" s="142"/>
      <c r="L96" s="142"/>
      <c r="M96" s="141"/>
      <c r="N96" s="142"/>
      <c r="O96" s="141"/>
      <c r="P96" s="142"/>
      <c r="Q96" s="141"/>
      <c r="R96" s="142"/>
      <c r="S96" s="363"/>
      <c r="T96" s="363"/>
      <c r="U96" s="363"/>
      <c r="V96" s="363"/>
      <c r="W96" s="363"/>
      <c r="X96" s="363"/>
      <c r="Y96" s="363"/>
      <c r="Z96" s="363"/>
      <c r="AA96" s="363"/>
      <c r="AB96" s="363"/>
      <c r="AC96" s="363"/>
      <c r="AD96" s="363"/>
      <c r="AE96" s="363"/>
      <c r="AF96" s="363"/>
      <c r="AG96" s="363"/>
    </row>
    <row r="97" spans="1:18" ht="14.25">
      <c r="A97" s="363"/>
      <c r="B97" s="363"/>
      <c r="C97" s="354"/>
      <c r="D97" s="363"/>
      <c r="E97" s="355"/>
      <c r="F97" s="363"/>
      <c r="G97" s="363"/>
      <c r="H97" s="363"/>
      <c r="I97" s="363"/>
      <c r="J97" s="363"/>
      <c r="K97" s="363"/>
      <c r="L97" s="363"/>
      <c r="M97" s="363"/>
      <c r="N97" s="363"/>
      <c r="O97" s="363"/>
      <c r="P97" s="363"/>
      <c r="Q97" s="363"/>
      <c r="R97" s="363"/>
    </row>
    <row r="98" spans="1:18" ht="14.25">
      <c r="A98" s="363" t="s">
        <v>223</v>
      </c>
      <c r="B98" s="363"/>
      <c r="C98" s="354"/>
      <c r="D98" s="363"/>
      <c r="E98" s="355"/>
      <c r="F98" s="363"/>
      <c r="G98" s="363"/>
      <c r="H98" s="363"/>
      <c r="I98" s="363"/>
      <c r="J98" s="363"/>
      <c r="K98" s="363"/>
      <c r="L98" s="363"/>
      <c r="M98" s="363"/>
      <c r="N98" s="363"/>
      <c r="O98" s="363"/>
      <c r="P98" s="363"/>
      <c r="Q98" s="363"/>
      <c r="R98" s="363"/>
    </row>
    <row r="99" spans="1:18" ht="14.25">
      <c r="A99" s="365" t="s">
        <v>224</v>
      </c>
      <c r="B99" s="365"/>
      <c r="C99" s="365"/>
      <c r="D99" s="365"/>
      <c r="E99" s="365"/>
      <c r="F99" s="365"/>
      <c r="G99" s="365"/>
      <c r="H99" s="365"/>
      <c r="I99" s="365"/>
      <c r="J99" s="365"/>
      <c r="K99" s="365"/>
      <c r="L99" s="365"/>
      <c r="M99" s="365"/>
      <c r="N99" s="365"/>
      <c r="O99" s="365"/>
      <c r="P99" s="365"/>
      <c r="Q99" s="365"/>
      <c r="R99" s="365"/>
    </row>
    <row r="100" spans="1:18" ht="14.25">
      <c r="A100" s="363"/>
      <c r="B100" s="363"/>
      <c r="C100" s="354"/>
      <c r="D100" s="363"/>
      <c r="E100" s="355"/>
      <c r="F100" s="363"/>
      <c r="G100" s="363"/>
      <c r="H100" s="363"/>
      <c r="I100" s="363"/>
      <c r="J100" s="363"/>
      <c r="K100" s="363"/>
      <c r="L100" s="363"/>
      <c r="M100" s="363"/>
      <c r="N100" s="363"/>
      <c r="O100" s="363"/>
      <c r="P100" s="363"/>
      <c r="Q100" s="363"/>
      <c r="R100" s="363"/>
    </row>
    <row r="101" spans="1:18" ht="14.25">
      <c r="A101" s="362" t="s">
        <v>190</v>
      </c>
      <c r="B101" s="363"/>
      <c r="C101" s="354"/>
      <c r="D101" s="363"/>
      <c r="E101" s="363"/>
      <c r="F101" s="363"/>
      <c r="G101" s="363"/>
      <c r="H101" s="363"/>
      <c r="I101" s="363"/>
      <c r="J101" s="363"/>
      <c r="K101" s="363"/>
      <c r="L101" s="363"/>
      <c r="M101" s="363"/>
      <c r="N101" s="363"/>
      <c r="O101" s="363"/>
      <c r="P101" s="363"/>
      <c r="Q101" s="363"/>
      <c r="R101" s="363"/>
    </row>
    <row r="102" spans="1:18" ht="14.25">
      <c r="A102" s="362" t="s">
        <v>191</v>
      </c>
      <c r="B102" s="363"/>
      <c r="C102" s="354"/>
      <c r="D102" s="363"/>
      <c r="E102" s="363"/>
      <c r="F102" s="363"/>
      <c r="G102" s="363"/>
      <c r="H102" s="363"/>
      <c r="I102" s="363"/>
      <c r="J102" s="363"/>
      <c r="K102" s="363"/>
      <c r="L102" s="363"/>
      <c r="M102" s="363"/>
      <c r="N102" s="363"/>
      <c r="O102" s="363"/>
      <c r="P102" s="363"/>
      <c r="Q102" s="363"/>
      <c r="R102" s="363"/>
    </row>
    <row r="103" spans="1:18" ht="14.25">
      <c r="A103" s="362" t="s">
        <v>192</v>
      </c>
      <c r="B103" s="363"/>
      <c r="C103" s="354"/>
      <c r="D103" s="363"/>
      <c r="E103" s="363"/>
      <c r="F103" s="363"/>
      <c r="G103" s="363"/>
      <c r="H103" s="363"/>
      <c r="I103" s="363"/>
      <c r="J103" s="363"/>
      <c r="K103" s="363"/>
      <c r="L103" s="363"/>
      <c r="M103" s="363"/>
      <c r="N103" s="363"/>
      <c r="O103" s="363"/>
      <c r="P103" s="363"/>
      <c r="Q103" s="363"/>
      <c r="R103" s="363"/>
    </row>
    <row r="104" spans="1:18" ht="14.25">
      <c r="A104" s="361"/>
      <c r="B104" s="363"/>
      <c r="C104" s="354"/>
      <c r="D104" s="363"/>
      <c r="E104" s="363"/>
      <c r="F104" s="363"/>
      <c r="G104" s="363"/>
      <c r="H104" s="363"/>
      <c r="I104" s="363"/>
      <c r="J104" s="363"/>
      <c r="K104" s="363"/>
      <c r="L104" s="363"/>
      <c r="M104" s="363"/>
      <c r="N104" s="363"/>
      <c r="O104" s="363"/>
      <c r="P104" s="363"/>
      <c r="Q104" s="363"/>
      <c r="R104" s="363"/>
    </row>
    <row r="105" spans="1:18" ht="14.25">
      <c r="A105" s="362" t="s">
        <v>193</v>
      </c>
      <c r="B105" s="360"/>
      <c r="C105" s="360"/>
      <c r="D105" s="360"/>
      <c r="E105" s="360"/>
      <c r="F105" s="360"/>
      <c r="G105" s="360"/>
      <c r="H105" s="360"/>
      <c r="I105" s="360"/>
      <c r="J105" s="360"/>
      <c r="K105" s="360"/>
      <c r="L105" s="360"/>
      <c r="M105" s="360"/>
      <c r="N105" s="360"/>
      <c r="O105" s="360"/>
      <c r="P105" s="360"/>
      <c r="Q105" s="360"/>
      <c r="R105" s="363"/>
    </row>
    <row r="106" spans="1:18" ht="14.25">
      <c r="A106" s="362" t="s">
        <v>225</v>
      </c>
      <c r="B106" s="360"/>
      <c r="C106" s="360"/>
      <c r="D106" s="360"/>
      <c r="E106" s="360"/>
      <c r="F106" s="360"/>
      <c r="G106" s="360"/>
      <c r="H106" s="360"/>
      <c r="I106" s="360"/>
      <c r="J106" s="360"/>
      <c r="K106" s="360"/>
      <c r="L106" s="360"/>
      <c r="M106" s="360"/>
      <c r="N106" s="360"/>
      <c r="O106" s="360"/>
      <c r="P106" s="360"/>
      <c r="Q106" s="360"/>
      <c r="R106" s="363"/>
    </row>
    <row r="107" spans="1:18" ht="14.25">
      <c r="A107" s="362" t="s">
        <v>194</v>
      </c>
      <c r="B107" s="360"/>
      <c r="C107" s="360"/>
      <c r="D107" s="360"/>
      <c r="E107" s="360"/>
      <c r="F107" s="360"/>
      <c r="G107" s="360"/>
      <c r="H107" s="360"/>
      <c r="I107" s="360"/>
      <c r="J107" s="360"/>
      <c r="K107" s="360"/>
      <c r="L107" s="360"/>
      <c r="M107" s="360"/>
      <c r="N107" s="360"/>
      <c r="O107" s="360"/>
      <c r="P107" s="360"/>
      <c r="Q107" s="360"/>
      <c r="R107" s="363"/>
    </row>
    <row r="108" spans="1:18" ht="14.25">
      <c r="A108" s="362" t="s">
        <v>195</v>
      </c>
      <c r="B108" s="360"/>
      <c r="C108" s="360"/>
      <c r="D108" s="360"/>
      <c r="E108" s="360"/>
      <c r="F108" s="360"/>
      <c r="G108" s="360"/>
      <c r="H108" s="360"/>
      <c r="I108" s="360"/>
      <c r="J108" s="360"/>
      <c r="K108" s="360"/>
      <c r="L108" s="360"/>
      <c r="M108" s="360"/>
      <c r="N108" s="360"/>
      <c r="O108" s="360"/>
      <c r="P108" s="360"/>
      <c r="Q108" s="360"/>
      <c r="R108" s="363"/>
    </row>
    <row r="109" spans="1:18" ht="14.25">
      <c r="A109" s="363"/>
      <c r="B109" s="363"/>
      <c r="C109" s="363"/>
      <c r="D109" s="363"/>
      <c r="E109" s="363"/>
      <c r="F109" s="363"/>
      <c r="G109" s="363"/>
      <c r="H109" s="363"/>
      <c r="I109" s="363"/>
      <c r="J109" s="363"/>
      <c r="K109" s="363"/>
      <c r="L109" s="363"/>
      <c r="M109" s="363"/>
      <c r="N109" s="363"/>
      <c r="O109" s="363"/>
      <c r="P109" s="363"/>
      <c r="Q109" s="363"/>
      <c r="R109" s="363"/>
    </row>
    <row r="110" spans="1:18" ht="14.25">
      <c r="A110" s="362" t="s">
        <v>222</v>
      </c>
      <c r="C110" s="363"/>
      <c r="D110" s="363"/>
      <c r="E110" s="363"/>
      <c r="F110" s="363"/>
      <c r="G110" s="363"/>
      <c r="I110" s="379" t="s">
        <v>202</v>
      </c>
      <c r="K110" s="352"/>
      <c r="M110" s="352"/>
      <c r="N110" s="363"/>
      <c r="O110" s="363"/>
      <c r="P110" s="363"/>
      <c r="Q110" s="363"/>
      <c r="R110" s="363"/>
    </row>
  </sheetData>
  <sheetProtection/>
  <mergeCells count="2">
    <mergeCell ref="A3:R3"/>
    <mergeCell ref="A1:R1"/>
  </mergeCells>
  <hyperlinks>
    <hyperlink ref="I110" r:id="rId1" display="http://web.cals.uidaho.edu/idahoagbiz/enterprise-budgets/"/>
  </hyperlinks>
  <printOptions/>
  <pageMargins left="0.7" right="0.7" top="0.75" bottom="0.75" header="0.3" footer="0.3"/>
  <pageSetup fitToHeight="2" horizontalDpi="600" verticalDpi="600" orientation="portrait" scale="69" r:id="rId4"/>
  <rowBreaks count="1" manualBreakCount="1">
    <brk id="71" max="17" man="1"/>
  </rowBreaks>
  <legacyDrawing r:id="rId3"/>
</worksheet>
</file>

<file path=xl/worksheets/sheet6.xml><?xml version="1.0" encoding="utf-8"?>
<worksheet xmlns="http://schemas.openxmlformats.org/spreadsheetml/2006/main" xmlns:r="http://schemas.openxmlformats.org/officeDocument/2006/relationships">
  <sheetPr>
    <tabColor theme="0"/>
    <pageSetUpPr fitToPage="1"/>
  </sheetPr>
  <dimension ref="A1:Q75"/>
  <sheetViews>
    <sheetView zoomScale="80" zoomScaleNormal="80" zoomScalePageLayoutView="0" workbookViewId="0" topLeftCell="A1">
      <selection activeCell="P20" sqref="P20"/>
    </sheetView>
  </sheetViews>
  <sheetFormatPr defaultColWidth="26.57421875" defaultRowHeight="15"/>
  <cols>
    <col min="1" max="1" width="30.421875" style="46" customWidth="1"/>
    <col min="2" max="2" width="2.00390625" style="46" customWidth="1"/>
    <col min="3" max="3" width="11.57421875" style="54" customWidth="1"/>
    <col min="4" max="4" width="1.28515625" style="46" customWidth="1"/>
    <col min="5" max="5" width="10.57421875" style="20" customWidth="1"/>
    <col min="6" max="6" width="1.57421875" style="46" customWidth="1"/>
    <col min="7" max="7" width="12.28125" style="46" customWidth="1"/>
    <col min="8" max="8" width="1.57421875" style="46" customWidth="1"/>
    <col min="9" max="9" width="17.421875" style="19" customWidth="1"/>
    <col min="10" max="10" width="1.57421875" style="46" customWidth="1"/>
    <col min="11" max="11" width="9.421875" style="37" customWidth="1"/>
    <col min="12" max="13" width="13.57421875" style="55" customWidth="1"/>
    <col min="14" max="14" width="10.421875" style="188" customWidth="1"/>
    <col min="15" max="15" width="9.421875" style="209" customWidth="1"/>
    <col min="16" max="16" width="17.421875" style="377" customWidth="1"/>
    <col min="17" max="17" width="12.7109375" style="37" customWidth="1"/>
    <col min="18" max="255" width="8.7109375" style="37" customWidth="1"/>
    <col min="256" max="16384" width="26.57421875" style="37" customWidth="1"/>
  </cols>
  <sheetData>
    <row r="1" spans="1:16" ht="22.5" customHeight="1">
      <c r="A1" s="424" t="s">
        <v>246</v>
      </c>
      <c r="B1" s="424"/>
      <c r="C1" s="424"/>
      <c r="D1" s="424"/>
      <c r="E1" s="424"/>
      <c r="F1" s="424"/>
      <c r="G1" s="424"/>
      <c r="H1" s="424"/>
      <c r="I1" s="424"/>
      <c r="J1" s="424"/>
      <c r="K1" s="400"/>
      <c r="L1" s="400"/>
      <c r="M1" s="427"/>
      <c r="N1" s="427"/>
      <c r="O1" s="427"/>
      <c r="P1" s="427"/>
    </row>
    <row r="2" spans="1:16" s="190" customFormat="1" ht="15.75">
      <c r="A2" s="78"/>
      <c r="B2" s="78"/>
      <c r="C2" s="79" t="s">
        <v>0</v>
      </c>
      <c r="D2" s="79"/>
      <c r="E2" s="80"/>
      <c r="F2" s="79"/>
      <c r="G2" s="79" t="s">
        <v>1</v>
      </c>
      <c r="H2" s="79"/>
      <c r="I2" s="81" t="s">
        <v>2</v>
      </c>
      <c r="J2" s="189"/>
      <c r="K2" s="369" t="s">
        <v>91</v>
      </c>
      <c r="L2" s="319" t="s">
        <v>94</v>
      </c>
      <c r="M2" s="319" t="s">
        <v>94</v>
      </c>
      <c r="N2" s="197" t="s">
        <v>90</v>
      </c>
      <c r="O2" s="333" t="s">
        <v>84</v>
      </c>
      <c r="P2" s="369" t="s">
        <v>84</v>
      </c>
    </row>
    <row r="3" spans="1:16" s="190" customFormat="1" ht="14.25" customHeight="1">
      <c r="A3" s="82" t="s">
        <v>3</v>
      </c>
      <c r="B3" s="83"/>
      <c r="C3" s="82" t="s">
        <v>109</v>
      </c>
      <c r="D3" s="82"/>
      <c r="E3" s="84" t="s">
        <v>4</v>
      </c>
      <c r="F3" s="82"/>
      <c r="G3" s="82" t="s">
        <v>5</v>
      </c>
      <c r="H3" s="82"/>
      <c r="I3" s="85" t="s">
        <v>5</v>
      </c>
      <c r="J3" s="191"/>
      <c r="K3" s="85" t="s">
        <v>92</v>
      </c>
      <c r="L3" s="210" t="s">
        <v>87</v>
      </c>
      <c r="M3" s="210" t="s">
        <v>87</v>
      </c>
      <c r="N3" s="197" t="s">
        <v>89</v>
      </c>
      <c r="O3" s="201" t="s">
        <v>85</v>
      </c>
      <c r="P3" s="369" t="s">
        <v>85</v>
      </c>
    </row>
    <row r="4" spans="1:16" s="190" customFormat="1" ht="15.75">
      <c r="A4" s="181"/>
      <c r="B4" s="179"/>
      <c r="C4" s="181"/>
      <c r="D4" s="179"/>
      <c r="E4" s="180"/>
      <c r="F4" s="179"/>
      <c r="G4" s="179"/>
      <c r="H4" s="179"/>
      <c r="I4" s="192"/>
      <c r="J4" s="193"/>
      <c r="K4" s="91" t="s">
        <v>81</v>
      </c>
      <c r="L4" s="211" t="s">
        <v>70</v>
      </c>
      <c r="M4" s="211" t="s">
        <v>95</v>
      </c>
      <c r="N4" s="198" t="s">
        <v>83</v>
      </c>
      <c r="O4" s="202" t="s">
        <v>86</v>
      </c>
      <c r="P4" s="91" t="s">
        <v>87</v>
      </c>
    </row>
    <row r="5" spans="1:16" ht="15">
      <c r="A5" s="13"/>
      <c r="B5" s="13"/>
      <c r="C5" s="36"/>
      <c r="D5" s="13"/>
      <c r="E5" s="16"/>
      <c r="F5" s="13"/>
      <c r="G5" s="17"/>
      <c r="H5" s="13"/>
      <c r="I5" s="14"/>
      <c r="J5" s="15"/>
      <c r="K5" s="38"/>
      <c r="L5" s="212"/>
      <c r="M5" s="212"/>
      <c r="N5" s="426"/>
      <c r="O5" s="426"/>
      <c r="P5" s="426"/>
    </row>
    <row r="6" spans="1:16" ht="15">
      <c r="A6" s="113" t="s">
        <v>7</v>
      </c>
      <c r="B6" s="92"/>
      <c r="C6" s="93"/>
      <c r="D6" s="92"/>
      <c r="E6" s="94"/>
      <c r="F6" s="92"/>
      <c r="G6" s="95"/>
      <c r="H6" s="92"/>
      <c r="I6" s="96"/>
      <c r="J6" s="97"/>
      <c r="K6" s="98"/>
      <c r="L6" s="99"/>
      <c r="M6" s="99"/>
      <c r="N6" s="40"/>
      <c r="O6" s="108"/>
      <c r="P6" s="348"/>
    </row>
    <row r="7" spans="1:16" ht="6.75" customHeight="1">
      <c r="A7" s="92"/>
      <c r="B7" s="92"/>
      <c r="C7" s="93"/>
      <c r="D7" s="92"/>
      <c r="E7" s="94"/>
      <c r="F7" s="92"/>
      <c r="G7" s="95"/>
      <c r="H7" s="92"/>
      <c r="I7" s="96"/>
      <c r="J7" s="97"/>
      <c r="K7" s="98"/>
      <c r="L7" s="99"/>
      <c r="M7" s="99"/>
      <c r="N7" s="40"/>
      <c r="O7" s="108"/>
      <c r="P7" s="348"/>
    </row>
    <row r="8" spans="1:16" ht="15">
      <c r="A8" s="114" t="s">
        <v>8</v>
      </c>
      <c r="B8" s="92"/>
      <c r="C8" s="93"/>
      <c r="D8" s="92"/>
      <c r="E8" s="94"/>
      <c r="F8" s="92"/>
      <c r="G8" s="95"/>
      <c r="H8" s="92"/>
      <c r="I8" s="219">
        <f>SUM(I9:I9)</f>
        <v>8900000</v>
      </c>
      <c r="J8" s="97"/>
      <c r="K8" s="98">
        <v>3</v>
      </c>
      <c r="L8" s="99">
        <f>1100*1.05</f>
        <v>1155</v>
      </c>
      <c r="M8" s="99">
        <f>L8*C9</f>
        <v>5775000</v>
      </c>
      <c r="N8" s="40">
        <v>0.05</v>
      </c>
      <c r="O8" s="108">
        <v>0.3672</v>
      </c>
      <c r="P8" s="373">
        <f>O8*(I8-M8)+(N8*M8)</f>
        <v>1436250</v>
      </c>
    </row>
    <row r="9" spans="1:16" ht="15">
      <c r="A9" s="115" t="s">
        <v>9</v>
      </c>
      <c r="B9" s="92"/>
      <c r="C9" s="281">
        <f>TotalCows</f>
        <v>5000</v>
      </c>
      <c r="D9" s="92"/>
      <c r="E9" s="101" t="s">
        <v>12</v>
      </c>
      <c r="F9" s="92"/>
      <c r="G9" s="296">
        <v>1780</v>
      </c>
      <c r="H9" s="92"/>
      <c r="I9" s="136">
        <f>C9*G9</f>
        <v>8900000</v>
      </c>
      <c r="J9" s="97"/>
      <c r="K9" s="98"/>
      <c r="L9" s="99"/>
      <c r="M9" s="99"/>
      <c r="N9" s="40"/>
      <c r="O9" s="108"/>
      <c r="P9" s="348"/>
    </row>
    <row r="10" spans="1:16" ht="15">
      <c r="A10" s="92"/>
      <c r="B10" s="92"/>
      <c r="C10" s="93"/>
      <c r="D10" s="92"/>
      <c r="E10" s="94"/>
      <c r="F10" s="92"/>
      <c r="G10" s="278"/>
      <c r="H10" s="92"/>
      <c r="I10" s="136"/>
      <c r="J10" s="97"/>
      <c r="K10" s="98"/>
      <c r="L10" s="99"/>
      <c r="M10" s="99"/>
      <c r="N10" s="40"/>
      <c r="O10" s="108"/>
      <c r="P10" s="348"/>
    </row>
    <row r="11" spans="1:16" ht="15">
      <c r="A11" s="114" t="s">
        <v>10</v>
      </c>
      <c r="B11" s="92"/>
      <c r="C11" s="93"/>
      <c r="D11" s="92"/>
      <c r="E11" s="94"/>
      <c r="F11" s="92"/>
      <c r="G11" s="278"/>
      <c r="H11" s="92"/>
      <c r="I11" s="219">
        <f>SUM(I12:I13)</f>
        <v>4320000</v>
      </c>
      <c r="J11" s="97"/>
      <c r="K11" s="98"/>
      <c r="L11" s="367"/>
      <c r="M11" s="367"/>
      <c r="N11" s="364"/>
      <c r="O11" s="368"/>
      <c r="P11" s="349"/>
    </row>
    <row r="12" spans="1:17" ht="15">
      <c r="A12" s="116" t="s">
        <v>11</v>
      </c>
      <c r="B12" s="92"/>
      <c r="C12" s="100">
        <f>0.06*C13</f>
        <v>300</v>
      </c>
      <c r="D12" s="92"/>
      <c r="E12" s="101" t="s">
        <v>6</v>
      </c>
      <c r="F12" s="92"/>
      <c r="G12" s="296">
        <v>4650</v>
      </c>
      <c r="H12" s="92"/>
      <c r="I12" s="136">
        <f>C12*G12</f>
        <v>1395000</v>
      </c>
      <c r="J12" s="97"/>
      <c r="K12" s="98"/>
      <c r="L12" s="367"/>
      <c r="M12" s="367"/>
      <c r="N12" s="364">
        <v>0.075</v>
      </c>
      <c r="O12" s="368"/>
      <c r="P12" s="373">
        <f>N12*I12</f>
        <v>104625</v>
      </c>
      <c r="Q12" s="381"/>
    </row>
    <row r="13" spans="1:16" ht="15">
      <c r="A13" s="102" t="s">
        <v>13</v>
      </c>
      <c r="B13" s="92"/>
      <c r="C13" s="100">
        <f>TotalCows</f>
        <v>5000</v>
      </c>
      <c r="D13" s="92"/>
      <c r="E13" s="101" t="s">
        <v>12</v>
      </c>
      <c r="F13" s="92"/>
      <c r="G13" s="296">
        <v>585</v>
      </c>
      <c r="H13" s="92"/>
      <c r="I13" s="136">
        <f>C13*G13</f>
        <v>2925000</v>
      </c>
      <c r="J13" s="97"/>
      <c r="K13" s="98">
        <v>30</v>
      </c>
      <c r="L13" s="367">
        <v>0</v>
      </c>
      <c r="M13" s="367"/>
      <c r="N13" s="364">
        <v>0.06</v>
      </c>
      <c r="O13" s="370">
        <v>0.07265</v>
      </c>
      <c r="P13" s="373">
        <f>O13*(I13-L13)+(N13*L13)</f>
        <v>212501.25000000003</v>
      </c>
    </row>
    <row r="14" spans="1:16" ht="15">
      <c r="A14" s="92"/>
      <c r="B14" s="92"/>
      <c r="C14" s="93"/>
      <c r="D14" s="92"/>
      <c r="E14" s="94"/>
      <c r="F14" s="92"/>
      <c r="G14" s="278"/>
      <c r="H14" s="92"/>
      <c r="I14" s="220"/>
      <c r="J14" s="97"/>
      <c r="K14" s="98"/>
      <c r="L14" s="99"/>
      <c r="M14" s="99"/>
      <c r="N14" s="40"/>
      <c r="O14" s="108"/>
      <c r="P14" s="348"/>
    </row>
    <row r="15" spans="1:16" ht="15">
      <c r="A15" s="114" t="s">
        <v>14</v>
      </c>
      <c r="B15" s="92"/>
      <c r="C15" s="93"/>
      <c r="D15" s="92"/>
      <c r="E15" s="94"/>
      <c r="F15" s="92"/>
      <c r="G15" s="278"/>
      <c r="H15" s="92"/>
      <c r="I15" s="221">
        <f>SUM(I16:I18)</f>
        <v>547192</v>
      </c>
      <c r="J15" s="97"/>
      <c r="K15" s="98"/>
      <c r="L15" s="99"/>
      <c r="M15" s="99"/>
      <c r="N15" s="40"/>
      <c r="O15" s="108"/>
      <c r="P15" s="348"/>
    </row>
    <row r="16" spans="1:16" ht="15">
      <c r="A16" s="115" t="s">
        <v>15</v>
      </c>
      <c r="B16" s="92"/>
      <c r="C16" s="100">
        <v>1</v>
      </c>
      <c r="D16" s="92"/>
      <c r="E16" s="101" t="s">
        <v>16</v>
      </c>
      <c r="F16" s="92"/>
      <c r="G16" s="296">
        <v>105400</v>
      </c>
      <c r="H16" s="92"/>
      <c r="I16" s="220">
        <f>C16*G16</f>
        <v>105400</v>
      </c>
      <c r="J16" s="97"/>
      <c r="K16" s="98">
        <v>30</v>
      </c>
      <c r="L16" s="99">
        <v>0</v>
      </c>
      <c r="M16" s="99"/>
      <c r="N16" s="40">
        <v>0.06</v>
      </c>
      <c r="O16" s="203">
        <v>0.07265</v>
      </c>
      <c r="P16" s="373">
        <f>O16*(I16-L16)+(N16*L16)</f>
        <v>7657.31</v>
      </c>
    </row>
    <row r="17" spans="1:16" ht="15">
      <c r="A17" s="102" t="s">
        <v>35</v>
      </c>
      <c r="B17" s="92"/>
      <c r="C17" s="100">
        <v>1</v>
      </c>
      <c r="D17" s="92"/>
      <c r="E17" s="101" t="s">
        <v>16</v>
      </c>
      <c r="F17" s="92"/>
      <c r="G17" s="296">
        <v>217800</v>
      </c>
      <c r="H17" s="92"/>
      <c r="I17" s="371">
        <f>C17*G17</f>
        <v>217800</v>
      </c>
      <c r="J17" s="97"/>
      <c r="K17" s="98">
        <v>30</v>
      </c>
      <c r="L17" s="99">
        <v>0</v>
      </c>
      <c r="M17" s="99"/>
      <c r="N17" s="40">
        <v>0.06</v>
      </c>
      <c r="O17" s="203">
        <v>0.07265</v>
      </c>
      <c r="P17" s="373">
        <f>O17*(I17-L17)+(N17*L17)</f>
        <v>15823.170000000002</v>
      </c>
    </row>
    <row r="18" spans="1:16" ht="15">
      <c r="A18" s="102" t="s">
        <v>36</v>
      </c>
      <c r="B18" s="92"/>
      <c r="C18" s="100">
        <v>4</v>
      </c>
      <c r="D18" s="92"/>
      <c r="E18" s="101" t="s">
        <v>16</v>
      </c>
      <c r="F18" s="92"/>
      <c r="G18" s="296">
        <v>56000</v>
      </c>
      <c r="H18" s="92"/>
      <c r="I18" s="220">
        <v>223991.99999999997</v>
      </c>
      <c r="J18" s="97"/>
      <c r="K18" s="98">
        <v>30</v>
      </c>
      <c r="L18" s="99">
        <v>0</v>
      </c>
      <c r="M18" s="99"/>
      <c r="N18" s="40">
        <v>0.06</v>
      </c>
      <c r="O18" s="203">
        <v>0.07265</v>
      </c>
      <c r="P18" s="373">
        <f>O18*(I18-L18)+(N18*L18)</f>
        <v>16273.0188</v>
      </c>
    </row>
    <row r="19" spans="1:16" ht="15">
      <c r="A19" s="92"/>
      <c r="B19" s="92"/>
      <c r="C19" s="93"/>
      <c r="D19" s="92"/>
      <c r="E19" s="94"/>
      <c r="F19" s="92"/>
      <c r="G19" s="278"/>
      <c r="H19" s="92"/>
      <c r="I19" s="220"/>
      <c r="J19" s="97"/>
      <c r="K19" s="98"/>
      <c r="L19" s="99"/>
      <c r="M19" s="99"/>
      <c r="N19" s="40"/>
      <c r="O19" s="108"/>
      <c r="P19" s="348"/>
    </row>
    <row r="20" spans="1:16" ht="15">
      <c r="A20" s="114" t="s">
        <v>17</v>
      </c>
      <c r="B20" s="92"/>
      <c r="C20" s="93"/>
      <c r="D20" s="92"/>
      <c r="E20" s="94"/>
      <c r="F20" s="92"/>
      <c r="G20" s="278"/>
      <c r="H20" s="92"/>
      <c r="I20" s="221">
        <f>SUM(I21:I22)</f>
        <v>2140367.9999999995</v>
      </c>
      <c r="J20" s="97"/>
      <c r="K20" s="98">
        <v>30</v>
      </c>
      <c r="L20" s="99">
        <v>0</v>
      </c>
      <c r="M20" s="99"/>
      <c r="N20" s="40">
        <v>0.06</v>
      </c>
      <c r="O20" s="203">
        <v>0.07265</v>
      </c>
      <c r="P20" s="373">
        <f>O20*(I20-L20)+(N20*L20)</f>
        <v>155497.73519999997</v>
      </c>
    </row>
    <row r="21" spans="1:16" ht="15">
      <c r="A21" s="116" t="s">
        <v>160</v>
      </c>
      <c r="B21" s="92"/>
      <c r="C21" s="100">
        <v>8000</v>
      </c>
      <c r="D21" s="92"/>
      <c r="E21" s="101" t="s">
        <v>18</v>
      </c>
      <c r="F21" s="92"/>
      <c r="G21" s="296">
        <v>62</v>
      </c>
      <c r="H21" s="92"/>
      <c r="I21" s="220">
        <v>497759.99999999994</v>
      </c>
      <c r="J21" s="97"/>
      <c r="K21" s="98"/>
      <c r="L21" s="99"/>
      <c r="M21" s="99"/>
      <c r="N21" s="40"/>
      <c r="O21" s="108"/>
      <c r="P21" s="348"/>
    </row>
    <row r="22" spans="1:16" ht="15">
      <c r="A22" s="104" t="s">
        <v>34</v>
      </c>
      <c r="B22" s="92"/>
      <c r="C22" s="100">
        <v>144</v>
      </c>
      <c r="D22" s="92"/>
      <c r="E22" s="101" t="s">
        <v>19</v>
      </c>
      <c r="F22" s="92"/>
      <c r="G22" s="296">
        <v>11400</v>
      </c>
      <c r="H22" s="92"/>
      <c r="I22" s="220">
        <v>1642607.9999999998</v>
      </c>
      <c r="J22" s="97"/>
      <c r="K22" s="98"/>
      <c r="L22" s="99"/>
      <c r="M22" s="99"/>
      <c r="N22" s="40"/>
      <c r="O22" s="108"/>
      <c r="P22" s="348"/>
    </row>
    <row r="23" spans="1:16" ht="15">
      <c r="A23" s="92"/>
      <c r="B23" s="92"/>
      <c r="C23" s="93"/>
      <c r="D23" s="92"/>
      <c r="E23" s="94"/>
      <c r="F23" s="92"/>
      <c r="G23" s="278"/>
      <c r="H23" s="92"/>
      <c r="I23" s="220"/>
      <c r="J23" s="97"/>
      <c r="K23" s="98"/>
      <c r="L23" s="99"/>
      <c r="M23" s="99"/>
      <c r="N23" s="40"/>
      <c r="O23" s="108"/>
      <c r="P23" s="348"/>
    </row>
    <row r="24" spans="1:16" ht="15">
      <c r="A24" s="114" t="s">
        <v>163</v>
      </c>
      <c r="B24" s="92"/>
      <c r="C24" s="93"/>
      <c r="D24" s="92"/>
      <c r="E24" s="94"/>
      <c r="F24" s="92"/>
      <c r="G24" s="278"/>
      <c r="H24" s="92"/>
      <c r="I24" s="221">
        <f>SUM(I25:I26)</f>
        <v>3136925</v>
      </c>
      <c r="J24" s="97"/>
      <c r="K24" s="98"/>
      <c r="L24" s="99"/>
      <c r="M24" s="99"/>
      <c r="N24" s="40"/>
      <c r="O24" s="108"/>
      <c r="P24" s="348"/>
    </row>
    <row r="25" spans="1:16" ht="15">
      <c r="A25" s="104" t="s">
        <v>172</v>
      </c>
      <c r="B25" s="92"/>
      <c r="C25" s="222">
        <v>5000</v>
      </c>
      <c r="D25" s="92"/>
      <c r="E25" s="101" t="s">
        <v>46</v>
      </c>
      <c r="F25" s="92"/>
      <c r="G25" s="296">
        <v>425</v>
      </c>
      <c r="H25" s="92"/>
      <c r="I25" s="220">
        <v>2203625</v>
      </c>
      <c r="J25" s="97"/>
      <c r="K25" s="98">
        <v>30</v>
      </c>
      <c r="L25" s="99">
        <v>0</v>
      </c>
      <c r="M25" s="99"/>
      <c r="N25" s="40">
        <v>0.06</v>
      </c>
      <c r="O25" s="203">
        <v>0.07265</v>
      </c>
      <c r="P25" s="373">
        <f>O25*(I25-L25)+(N25*L25)</f>
        <v>160093.35625</v>
      </c>
    </row>
    <row r="26" spans="1:16" s="46" customFormat="1" ht="15">
      <c r="A26" s="102" t="s">
        <v>173</v>
      </c>
      <c r="B26" s="92"/>
      <c r="C26" s="222">
        <v>200000</v>
      </c>
      <c r="D26" s="92"/>
      <c r="E26" s="101" t="s">
        <v>18</v>
      </c>
      <c r="F26" s="92"/>
      <c r="G26" s="296">
        <v>5</v>
      </c>
      <c r="H26" s="92"/>
      <c r="I26" s="220">
        <v>933299.9999999999</v>
      </c>
      <c r="J26" s="97"/>
      <c r="K26" s="98">
        <v>30</v>
      </c>
      <c r="L26" s="99">
        <v>0</v>
      </c>
      <c r="M26" s="99"/>
      <c r="N26" s="40">
        <v>0.06</v>
      </c>
      <c r="O26" s="203">
        <v>0.07265</v>
      </c>
      <c r="P26" s="373">
        <f>O26*(I26-L26)+(N26*L26)</f>
        <v>67804.245</v>
      </c>
    </row>
    <row r="27" spans="1:16" ht="15">
      <c r="A27" s="92"/>
      <c r="B27" s="92"/>
      <c r="C27" s="93"/>
      <c r="D27" s="92"/>
      <c r="E27" s="94"/>
      <c r="F27" s="92"/>
      <c r="G27" s="278"/>
      <c r="H27" s="92"/>
      <c r="I27" s="220"/>
      <c r="J27" s="97"/>
      <c r="K27" s="98"/>
      <c r="L27" s="99"/>
      <c r="M27" s="99"/>
      <c r="N27" s="40"/>
      <c r="O27" s="108"/>
      <c r="P27" s="348"/>
    </row>
    <row r="28" spans="1:16" ht="15">
      <c r="A28" s="114" t="s">
        <v>20</v>
      </c>
      <c r="B28" s="92"/>
      <c r="C28" s="93"/>
      <c r="D28" s="92"/>
      <c r="E28" s="94"/>
      <c r="F28" s="92"/>
      <c r="G28" s="278"/>
      <c r="H28" s="92"/>
      <c r="I28" s="221">
        <f>SUM(I29:I30)</f>
        <v>404430</v>
      </c>
      <c r="J28" s="97"/>
      <c r="K28" s="98">
        <v>30</v>
      </c>
      <c r="L28" s="99">
        <v>0</v>
      </c>
      <c r="M28" s="99"/>
      <c r="N28" s="40">
        <v>0.06</v>
      </c>
      <c r="O28" s="203">
        <v>0.07265</v>
      </c>
      <c r="P28" s="373">
        <f>O28*(I28-L28)+(N28*L28)</f>
        <v>29381.839500000002</v>
      </c>
    </row>
    <row r="29" spans="1:16" ht="15">
      <c r="A29" s="116" t="s">
        <v>21</v>
      </c>
      <c r="B29" s="92"/>
      <c r="C29" s="100">
        <v>2100</v>
      </c>
      <c r="D29" s="92"/>
      <c r="E29" s="101" t="s">
        <v>18</v>
      </c>
      <c r="F29" s="92"/>
      <c r="G29" s="296">
        <v>62</v>
      </c>
      <c r="H29" s="92"/>
      <c r="I29" s="220">
        <v>130662</v>
      </c>
      <c r="J29" s="97"/>
      <c r="K29" s="98"/>
      <c r="L29" s="99"/>
      <c r="M29" s="99"/>
      <c r="N29" s="40"/>
      <c r="O29" s="108"/>
      <c r="P29" s="348"/>
    </row>
    <row r="30" spans="1:16" ht="15">
      <c r="A30" s="104" t="s">
        <v>22</v>
      </c>
      <c r="B30" s="92"/>
      <c r="C30" s="100">
        <v>24</v>
      </c>
      <c r="D30" s="92"/>
      <c r="E30" s="101" t="s">
        <v>19</v>
      </c>
      <c r="F30" s="92"/>
      <c r="G30" s="296">
        <v>11400</v>
      </c>
      <c r="H30" s="92"/>
      <c r="I30" s="220">
        <v>273768</v>
      </c>
      <c r="J30" s="97"/>
      <c r="K30" s="98"/>
      <c r="L30" s="99"/>
      <c r="M30" s="99"/>
      <c r="N30" s="40"/>
      <c r="O30" s="108"/>
      <c r="P30" s="348"/>
    </row>
    <row r="31" spans="1:16" ht="8.25" customHeight="1">
      <c r="A31" s="92"/>
      <c r="B31" s="92"/>
      <c r="C31" s="93"/>
      <c r="D31" s="92"/>
      <c r="E31" s="94"/>
      <c r="F31" s="92"/>
      <c r="G31" s="278"/>
      <c r="H31" s="92"/>
      <c r="I31" s="220"/>
      <c r="J31" s="97"/>
      <c r="K31" s="98"/>
      <c r="L31" s="99"/>
      <c r="M31" s="99"/>
      <c r="N31" s="40"/>
      <c r="O31" s="108"/>
      <c r="P31" s="348"/>
    </row>
    <row r="32" spans="1:16" ht="14.25">
      <c r="A32" s="114" t="s">
        <v>103</v>
      </c>
      <c r="B32" s="92"/>
      <c r="C32" s="105"/>
      <c r="D32" s="92"/>
      <c r="E32" s="94"/>
      <c r="F32" s="92"/>
      <c r="G32" s="278"/>
      <c r="H32" s="92"/>
      <c r="I32" s="221">
        <f>SUM(I33:I53)</f>
        <v>1497500</v>
      </c>
      <c r="J32" s="97"/>
      <c r="K32" s="98"/>
      <c r="L32" s="99"/>
      <c r="M32" s="99"/>
      <c r="N32" s="40"/>
      <c r="O32" s="204" t="s">
        <v>88</v>
      </c>
      <c r="P32" s="350">
        <f>SUM(P33:P53)</f>
        <v>220960.2238838743</v>
      </c>
    </row>
    <row r="33" spans="1:16" ht="14.25">
      <c r="A33" s="115" t="s">
        <v>23</v>
      </c>
      <c r="B33" s="92"/>
      <c r="C33" s="100">
        <v>2</v>
      </c>
      <c r="D33" s="92"/>
      <c r="E33" s="117" t="s">
        <v>16</v>
      </c>
      <c r="F33" s="92"/>
      <c r="G33" s="296">
        <v>79100</v>
      </c>
      <c r="H33" s="92"/>
      <c r="I33" s="220">
        <f aca="true" t="shared" si="0" ref="I33:I53">C33*G33</f>
        <v>158200</v>
      </c>
      <c r="J33" s="97"/>
      <c r="K33" s="98">
        <v>10</v>
      </c>
      <c r="L33" s="99">
        <f aca="true" t="shared" si="1" ref="L33:L53">0.1*G33</f>
        <v>7910</v>
      </c>
      <c r="M33" s="99">
        <f aca="true" t="shared" si="2" ref="M33:M38">L33*C33</f>
        <v>15820</v>
      </c>
      <c r="N33" s="40">
        <v>0.06</v>
      </c>
      <c r="O33" s="108">
        <v>0.1359</v>
      </c>
      <c r="P33" s="373">
        <f>O33*(I33-L33)+(N33*L33)</f>
        <v>20899.011</v>
      </c>
    </row>
    <row r="34" spans="1:16" ht="14.25">
      <c r="A34" s="115" t="s">
        <v>161</v>
      </c>
      <c r="B34" s="92"/>
      <c r="C34" s="100">
        <v>1</v>
      </c>
      <c r="D34" s="92"/>
      <c r="E34" s="117" t="s">
        <v>16</v>
      </c>
      <c r="F34" s="92"/>
      <c r="G34" s="296">
        <v>41200</v>
      </c>
      <c r="H34" s="92"/>
      <c r="I34" s="220">
        <f t="shared" si="0"/>
        <v>41200</v>
      </c>
      <c r="J34" s="97"/>
      <c r="K34" s="98">
        <v>8</v>
      </c>
      <c r="L34" s="99">
        <f t="shared" si="1"/>
        <v>4120</v>
      </c>
      <c r="M34" s="99">
        <f t="shared" si="2"/>
        <v>4120</v>
      </c>
      <c r="N34" s="40">
        <v>0.06</v>
      </c>
      <c r="O34" s="108">
        <v>0.161</v>
      </c>
      <c r="P34" s="373">
        <f aca="true" t="shared" si="3" ref="P34:P47">O34*(I34-L34)+(N34*L34)</f>
        <v>6217.08</v>
      </c>
    </row>
    <row r="35" spans="1:16" s="46" customFormat="1" ht="14.25">
      <c r="A35" s="115" t="s">
        <v>162</v>
      </c>
      <c r="B35" s="92"/>
      <c r="C35" s="100">
        <v>2</v>
      </c>
      <c r="D35" s="92"/>
      <c r="E35" s="117" t="s">
        <v>16</v>
      </c>
      <c r="F35" s="92"/>
      <c r="G35" s="296">
        <v>20600</v>
      </c>
      <c r="H35" s="92"/>
      <c r="I35" s="220">
        <f>C35*G35</f>
        <v>41200</v>
      </c>
      <c r="J35" s="97"/>
      <c r="K35" s="98">
        <v>8</v>
      </c>
      <c r="L35" s="99">
        <f>0.1*G35</f>
        <v>2060</v>
      </c>
      <c r="M35" s="99">
        <f>L35*C35</f>
        <v>4120</v>
      </c>
      <c r="N35" s="40">
        <v>0.06</v>
      </c>
      <c r="O35" s="108">
        <v>0.161</v>
      </c>
      <c r="P35" s="373">
        <f>O35*(I35-L35)+(N35*L35)</f>
        <v>6425.14</v>
      </c>
    </row>
    <row r="36" spans="1:16" ht="14.25">
      <c r="A36" s="115" t="s">
        <v>24</v>
      </c>
      <c r="B36" s="92"/>
      <c r="C36" s="100">
        <v>2</v>
      </c>
      <c r="D36" s="92"/>
      <c r="E36" s="117" t="s">
        <v>16</v>
      </c>
      <c r="F36" s="92"/>
      <c r="G36" s="296">
        <v>6300</v>
      </c>
      <c r="H36" s="92"/>
      <c r="I36" s="220">
        <f t="shared" si="0"/>
        <v>12600</v>
      </c>
      <c r="J36" s="97"/>
      <c r="K36" s="98">
        <v>8</v>
      </c>
      <c r="L36" s="99">
        <f t="shared" si="1"/>
        <v>630</v>
      </c>
      <c r="M36" s="99">
        <f t="shared" si="2"/>
        <v>1260</v>
      </c>
      <c r="N36" s="40">
        <v>0.06</v>
      </c>
      <c r="O36" s="108">
        <v>0.161</v>
      </c>
      <c r="P36" s="373">
        <f t="shared" si="3"/>
        <v>1964.97</v>
      </c>
    </row>
    <row r="37" spans="1:16" ht="14.25">
      <c r="A37" s="115" t="s">
        <v>25</v>
      </c>
      <c r="B37" s="92"/>
      <c r="C37" s="100">
        <v>2</v>
      </c>
      <c r="D37" s="92"/>
      <c r="E37" s="117" t="s">
        <v>16</v>
      </c>
      <c r="F37" s="92"/>
      <c r="G37" s="296">
        <v>61700</v>
      </c>
      <c r="H37" s="92"/>
      <c r="I37" s="220">
        <f t="shared" si="0"/>
        <v>123400</v>
      </c>
      <c r="J37" s="97"/>
      <c r="K37" s="98">
        <v>10</v>
      </c>
      <c r="L37" s="99">
        <f t="shared" si="1"/>
        <v>6170</v>
      </c>
      <c r="M37" s="99">
        <f t="shared" si="2"/>
        <v>12340</v>
      </c>
      <c r="N37" s="40">
        <v>0.06</v>
      </c>
      <c r="O37" s="108">
        <v>0.1359</v>
      </c>
      <c r="P37" s="373">
        <f t="shared" si="3"/>
        <v>16301.757</v>
      </c>
    </row>
    <row r="38" spans="1:16" ht="14.25">
      <c r="A38" s="106" t="s">
        <v>26</v>
      </c>
      <c r="B38" s="92"/>
      <c r="C38" s="100">
        <v>1</v>
      </c>
      <c r="D38" s="92"/>
      <c r="E38" s="117" t="s">
        <v>16</v>
      </c>
      <c r="F38" s="92"/>
      <c r="G38" s="296">
        <v>99400</v>
      </c>
      <c r="H38" s="92"/>
      <c r="I38" s="220">
        <f t="shared" si="0"/>
        <v>99400</v>
      </c>
      <c r="J38" s="97"/>
      <c r="K38" s="98">
        <v>10</v>
      </c>
      <c r="L38" s="99">
        <f t="shared" si="1"/>
        <v>9940</v>
      </c>
      <c r="M38" s="99">
        <f t="shared" si="2"/>
        <v>9940</v>
      </c>
      <c r="N38" s="40">
        <v>0.06</v>
      </c>
      <c r="O38" s="108">
        <v>0.1359</v>
      </c>
      <c r="P38" s="373">
        <f t="shared" si="3"/>
        <v>12754.014</v>
      </c>
    </row>
    <row r="39" spans="1:16" s="45" customFormat="1" ht="14.25">
      <c r="A39" s="106" t="s">
        <v>98</v>
      </c>
      <c r="B39" s="92"/>
      <c r="C39" s="100">
        <v>1</v>
      </c>
      <c r="D39" s="92"/>
      <c r="E39" s="117" t="s">
        <v>16</v>
      </c>
      <c r="F39" s="92"/>
      <c r="G39" s="296">
        <v>61700</v>
      </c>
      <c r="H39" s="92"/>
      <c r="I39" s="220">
        <f t="shared" si="0"/>
        <v>61700</v>
      </c>
      <c r="J39" s="97"/>
      <c r="K39" s="98">
        <v>20</v>
      </c>
      <c r="L39" s="99">
        <f t="shared" si="1"/>
        <v>6170</v>
      </c>
      <c r="M39" s="99">
        <f aca="true" t="shared" si="4" ref="M39:M53">L39*C39</f>
        <v>6170</v>
      </c>
      <c r="N39" s="40">
        <v>0.06</v>
      </c>
      <c r="O39" s="107">
        <v>0.0871845569768514</v>
      </c>
      <c r="P39" s="373">
        <f>O39*(I39-M39)+(N39*M39)</f>
        <v>5211.558448924558</v>
      </c>
    </row>
    <row r="40" spans="1:16" s="45" customFormat="1" ht="14.25">
      <c r="A40" s="106" t="s">
        <v>99</v>
      </c>
      <c r="B40" s="92"/>
      <c r="C40" s="100">
        <v>1</v>
      </c>
      <c r="D40" s="92"/>
      <c r="E40" s="117" t="s">
        <v>16</v>
      </c>
      <c r="F40" s="92"/>
      <c r="G40" s="296">
        <v>46000</v>
      </c>
      <c r="H40" s="92"/>
      <c r="I40" s="220">
        <f t="shared" si="0"/>
        <v>46000</v>
      </c>
      <c r="J40" s="97"/>
      <c r="K40" s="98">
        <v>20</v>
      </c>
      <c r="L40" s="99">
        <f t="shared" si="1"/>
        <v>4600</v>
      </c>
      <c r="M40" s="99">
        <f t="shared" si="4"/>
        <v>4600</v>
      </c>
      <c r="N40" s="40">
        <v>0.06</v>
      </c>
      <c r="O40" s="107">
        <v>0.0871845569768514</v>
      </c>
      <c r="P40" s="373">
        <f>O40*(I40-M40)+(N40*M40)</f>
        <v>3885.440658841648</v>
      </c>
    </row>
    <row r="41" spans="1:16" ht="14.25">
      <c r="A41" s="106" t="s">
        <v>27</v>
      </c>
      <c r="B41" s="92"/>
      <c r="C41" s="100">
        <v>2</v>
      </c>
      <c r="D41" s="92"/>
      <c r="E41" s="117" t="s">
        <v>16</v>
      </c>
      <c r="F41" s="92"/>
      <c r="G41" s="296">
        <v>40100</v>
      </c>
      <c r="H41" s="92"/>
      <c r="I41" s="220">
        <f t="shared" si="0"/>
        <v>80200</v>
      </c>
      <c r="J41" s="97"/>
      <c r="K41" s="98">
        <v>10</v>
      </c>
      <c r="L41" s="99">
        <f t="shared" si="1"/>
        <v>4010</v>
      </c>
      <c r="M41" s="99">
        <f t="shared" si="4"/>
        <v>8020</v>
      </c>
      <c r="N41" s="40">
        <v>0.06</v>
      </c>
      <c r="O41" s="108">
        <v>0.1359</v>
      </c>
      <c r="P41" s="373">
        <f t="shared" si="3"/>
        <v>10594.821</v>
      </c>
    </row>
    <row r="42" spans="1:16" ht="14.25">
      <c r="A42" s="115" t="s">
        <v>28</v>
      </c>
      <c r="B42" s="92"/>
      <c r="C42" s="100">
        <v>1</v>
      </c>
      <c r="D42" s="92"/>
      <c r="E42" s="117" t="s">
        <v>16</v>
      </c>
      <c r="F42" s="92"/>
      <c r="G42" s="296">
        <v>156900</v>
      </c>
      <c r="H42" s="92"/>
      <c r="I42" s="220">
        <f t="shared" si="0"/>
        <v>156900</v>
      </c>
      <c r="J42" s="97"/>
      <c r="K42" s="98">
        <v>10</v>
      </c>
      <c r="L42" s="99">
        <f t="shared" si="1"/>
        <v>15690</v>
      </c>
      <c r="M42" s="99">
        <f t="shared" si="4"/>
        <v>15690</v>
      </c>
      <c r="N42" s="40">
        <v>0.06</v>
      </c>
      <c r="O42" s="108">
        <v>0.1359</v>
      </c>
      <c r="P42" s="373">
        <f t="shared" si="3"/>
        <v>20131.839</v>
      </c>
    </row>
    <row r="43" spans="1:16" ht="14.25">
      <c r="A43" s="115" t="s">
        <v>29</v>
      </c>
      <c r="B43" s="92"/>
      <c r="C43" s="100">
        <v>2</v>
      </c>
      <c r="D43" s="92"/>
      <c r="E43" s="117" t="s">
        <v>16</v>
      </c>
      <c r="F43" s="92"/>
      <c r="G43" s="296">
        <v>82600</v>
      </c>
      <c r="H43" s="92"/>
      <c r="I43" s="220">
        <f t="shared" si="0"/>
        <v>165200</v>
      </c>
      <c r="J43" s="97"/>
      <c r="K43" s="98">
        <v>8</v>
      </c>
      <c r="L43" s="99">
        <f t="shared" si="1"/>
        <v>8260</v>
      </c>
      <c r="M43" s="99">
        <f t="shared" si="4"/>
        <v>16520</v>
      </c>
      <c r="N43" s="40">
        <v>0.06</v>
      </c>
      <c r="O43" s="108">
        <v>0.161</v>
      </c>
      <c r="P43" s="373">
        <f t="shared" si="3"/>
        <v>25762.94</v>
      </c>
    </row>
    <row r="44" spans="1:16" s="46" customFormat="1" ht="14.25">
      <c r="A44" s="115" t="s">
        <v>104</v>
      </c>
      <c r="B44" s="92"/>
      <c r="C44" s="100">
        <v>2</v>
      </c>
      <c r="D44" s="92"/>
      <c r="E44" s="117" t="s">
        <v>16</v>
      </c>
      <c r="F44" s="92"/>
      <c r="G44" s="296">
        <v>36600</v>
      </c>
      <c r="H44" s="92"/>
      <c r="I44" s="220">
        <f t="shared" si="0"/>
        <v>73200</v>
      </c>
      <c r="J44" s="97"/>
      <c r="K44" s="98">
        <v>3</v>
      </c>
      <c r="L44" s="99">
        <f t="shared" si="1"/>
        <v>3660</v>
      </c>
      <c r="M44" s="99">
        <f t="shared" si="4"/>
        <v>7320</v>
      </c>
      <c r="N44" s="40">
        <v>0.06</v>
      </c>
      <c r="O44" s="108">
        <v>0.374109812790551</v>
      </c>
      <c r="P44" s="373">
        <f>O44*(I44-M44)+(N44*M44)</f>
        <v>25085.5544666415</v>
      </c>
    </row>
    <row r="45" spans="1:16" s="46" customFormat="1" ht="14.25">
      <c r="A45" s="115" t="s">
        <v>158</v>
      </c>
      <c r="B45" s="92"/>
      <c r="C45" s="100">
        <v>1</v>
      </c>
      <c r="D45" s="92"/>
      <c r="E45" s="117" t="s">
        <v>16</v>
      </c>
      <c r="F45" s="92"/>
      <c r="G45" s="296">
        <v>52300</v>
      </c>
      <c r="H45" s="92"/>
      <c r="I45" s="220">
        <f t="shared" si="0"/>
        <v>52300</v>
      </c>
      <c r="J45" s="97"/>
      <c r="K45" s="98">
        <v>3</v>
      </c>
      <c r="L45" s="99">
        <f t="shared" si="1"/>
        <v>5230</v>
      </c>
      <c r="M45" s="99">
        <f t="shared" si="4"/>
        <v>5230</v>
      </c>
      <c r="N45" s="40">
        <v>0.06</v>
      </c>
      <c r="O45" s="108">
        <v>0.374109812790551</v>
      </c>
      <c r="P45" s="373">
        <f>O45*(I45-M45)+(N45*M45)</f>
        <v>17923.148888051233</v>
      </c>
    </row>
    <row r="46" spans="1:16" ht="14.25">
      <c r="A46" s="115" t="s">
        <v>32</v>
      </c>
      <c r="B46" s="92"/>
      <c r="C46" s="100">
        <v>1</v>
      </c>
      <c r="D46" s="92"/>
      <c r="E46" s="117" t="s">
        <v>16</v>
      </c>
      <c r="F46" s="92"/>
      <c r="G46" s="296">
        <v>128600</v>
      </c>
      <c r="H46" s="92"/>
      <c r="I46" s="220">
        <f t="shared" si="0"/>
        <v>128600</v>
      </c>
      <c r="J46" s="97"/>
      <c r="K46" s="98">
        <v>10</v>
      </c>
      <c r="L46" s="99">
        <f t="shared" si="1"/>
        <v>12860</v>
      </c>
      <c r="M46" s="99">
        <f t="shared" si="4"/>
        <v>12860</v>
      </c>
      <c r="N46" s="40">
        <v>0.06</v>
      </c>
      <c r="O46" s="108">
        <v>0.1359</v>
      </c>
      <c r="P46" s="373">
        <f t="shared" si="3"/>
        <v>16500.665999999997</v>
      </c>
    </row>
    <row r="47" spans="1:16" ht="14.25">
      <c r="A47" s="115" t="s">
        <v>33</v>
      </c>
      <c r="B47" s="92"/>
      <c r="C47" s="100">
        <v>1</v>
      </c>
      <c r="D47" s="92"/>
      <c r="E47" s="117" t="s">
        <v>16</v>
      </c>
      <c r="F47" s="92"/>
      <c r="G47" s="296">
        <v>66900</v>
      </c>
      <c r="H47" s="92"/>
      <c r="I47" s="220">
        <f t="shared" si="0"/>
        <v>66900</v>
      </c>
      <c r="J47" s="97"/>
      <c r="K47" s="98">
        <v>8</v>
      </c>
      <c r="L47" s="99">
        <f t="shared" si="1"/>
        <v>6690</v>
      </c>
      <c r="M47" s="99">
        <f t="shared" si="4"/>
        <v>6690</v>
      </c>
      <c r="N47" s="40">
        <v>0.06</v>
      </c>
      <c r="O47" s="108">
        <v>0.161</v>
      </c>
      <c r="P47" s="373">
        <f t="shared" si="3"/>
        <v>10095.21</v>
      </c>
    </row>
    <row r="48" spans="1:16" s="45" customFormat="1" ht="14.25">
      <c r="A48" s="115" t="s">
        <v>102</v>
      </c>
      <c r="B48" s="92"/>
      <c r="C48" s="100">
        <v>2</v>
      </c>
      <c r="D48" s="92"/>
      <c r="E48" s="117" t="s">
        <v>16</v>
      </c>
      <c r="F48" s="92"/>
      <c r="G48" s="296">
        <v>16700</v>
      </c>
      <c r="H48" s="92"/>
      <c r="I48" s="220">
        <f t="shared" si="0"/>
        <v>33400</v>
      </c>
      <c r="J48" s="97"/>
      <c r="K48" s="98">
        <v>20</v>
      </c>
      <c r="L48" s="99">
        <f t="shared" si="1"/>
        <v>1670</v>
      </c>
      <c r="M48" s="99">
        <f t="shared" si="4"/>
        <v>3340</v>
      </c>
      <c r="N48" s="40">
        <v>0.06</v>
      </c>
      <c r="O48" s="107">
        <v>0.0871845569768514</v>
      </c>
      <c r="P48" s="373">
        <f aca="true" t="shared" si="5" ref="P48:P53">O48*(I48-M48)+(N48*M48)</f>
        <v>2821.1677827241533</v>
      </c>
    </row>
    <row r="49" spans="1:16" s="46" customFormat="1" ht="14.25">
      <c r="A49" s="115" t="s">
        <v>100</v>
      </c>
      <c r="B49" s="92"/>
      <c r="C49" s="100">
        <v>1</v>
      </c>
      <c r="D49" s="92"/>
      <c r="E49" s="117" t="s">
        <v>16</v>
      </c>
      <c r="F49" s="92"/>
      <c r="G49" s="296">
        <v>68000</v>
      </c>
      <c r="H49" s="92"/>
      <c r="I49" s="220">
        <f t="shared" si="0"/>
        <v>68000</v>
      </c>
      <c r="J49" s="97"/>
      <c r="K49" s="98">
        <v>10</v>
      </c>
      <c r="L49" s="99">
        <f t="shared" si="1"/>
        <v>6800</v>
      </c>
      <c r="M49" s="99">
        <f t="shared" si="4"/>
        <v>6800</v>
      </c>
      <c r="N49" s="40">
        <v>0.06</v>
      </c>
      <c r="O49" s="108">
        <v>0.1359</v>
      </c>
      <c r="P49" s="373">
        <f t="shared" si="5"/>
        <v>8725.08</v>
      </c>
    </row>
    <row r="50" spans="1:16" s="45" customFormat="1" ht="14.25">
      <c r="A50" s="115" t="s">
        <v>101</v>
      </c>
      <c r="B50" s="92"/>
      <c r="C50" s="100">
        <v>1</v>
      </c>
      <c r="D50" s="92"/>
      <c r="E50" s="117" t="s">
        <v>16</v>
      </c>
      <c r="F50" s="92"/>
      <c r="G50" s="296">
        <v>50200</v>
      </c>
      <c r="H50" s="92"/>
      <c r="I50" s="220">
        <f t="shared" si="0"/>
        <v>50200</v>
      </c>
      <c r="J50" s="97"/>
      <c r="K50" s="98">
        <v>20</v>
      </c>
      <c r="L50" s="99">
        <f t="shared" si="1"/>
        <v>5020</v>
      </c>
      <c r="M50" s="99">
        <f t="shared" si="4"/>
        <v>5020</v>
      </c>
      <c r="N50" s="40">
        <v>0.06</v>
      </c>
      <c r="O50" s="107">
        <v>0.0871845569768514</v>
      </c>
      <c r="P50" s="373">
        <f t="shared" si="5"/>
        <v>4240.198284214146</v>
      </c>
    </row>
    <row r="51" spans="1:16" s="46" customFormat="1" ht="14.25">
      <c r="A51" s="115" t="s">
        <v>156</v>
      </c>
      <c r="B51" s="92"/>
      <c r="C51" s="100">
        <v>1</v>
      </c>
      <c r="D51" s="92"/>
      <c r="E51" s="117" t="s">
        <v>16</v>
      </c>
      <c r="F51" s="92"/>
      <c r="G51" s="296">
        <v>3500</v>
      </c>
      <c r="H51" s="92"/>
      <c r="I51" s="220">
        <f t="shared" si="0"/>
        <v>3500</v>
      </c>
      <c r="J51" s="97"/>
      <c r="K51" s="98">
        <v>20</v>
      </c>
      <c r="L51" s="99">
        <f t="shared" si="1"/>
        <v>350</v>
      </c>
      <c r="M51" s="99">
        <f t="shared" si="4"/>
        <v>350</v>
      </c>
      <c r="N51" s="40">
        <v>0.06</v>
      </c>
      <c r="O51" s="107">
        <v>0.0871845569768514</v>
      </c>
      <c r="P51" s="373">
        <f t="shared" si="5"/>
        <v>295.6313544770819</v>
      </c>
    </row>
    <row r="52" spans="1:16" s="46" customFormat="1" ht="14.25">
      <c r="A52" s="115" t="s">
        <v>157</v>
      </c>
      <c r="B52" s="92"/>
      <c r="C52" s="100">
        <v>1</v>
      </c>
      <c r="D52" s="92"/>
      <c r="E52" s="117" t="s">
        <v>16</v>
      </c>
      <c r="F52" s="92"/>
      <c r="G52" s="296">
        <v>9600</v>
      </c>
      <c r="H52" s="92"/>
      <c r="I52" s="220">
        <f t="shared" si="0"/>
        <v>9600</v>
      </c>
      <c r="J52" s="97"/>
      <c r="K52" s="98">
        <v>10</v>
      </c>
      <c r="L52" s="99">
        <f t="shared" si="1"/>
        <v>960</v>
      </c>
      <c r="M52" s="99">
        <f t="shared" si="4"/>
        <v>960</v>
      </c>
      <c r="N52" s="40">
        <v>0.06</v>
      </c>
      <c r="O52" s="108">
        <v>0.1359</v>
      </c>
      <c r="P52" s="373">
        <f t="shared" si="5"/>
        <v>1231.7759999999998</v>
      </c>
    </row>
    <row r="53" spans="1:16" ht="14.25">
      <c r="A53" s="115" t="s">
        <v>159</v>
      </c>
      <c r="B53" s="92"/>
      <c r="C53" s="100">
        <v>1</v>
      </c>
      <c r="D53" s="92"/>
      <c r="E53" s="117" t="s">
        <v>16</v>
      </c>
      <c r="F53" s="92"/>
      <c r="G53" s="296">
        <v>25800</v>
      </c>
      <c r="H53" s="92"/>
      <c r="I53" s="220">
        <f t="shared" si="0"/>
        <v>25800</v>
      </c>
      <c r="J53" s="97"/>
      <c r="K53" s="98">
        <v>8</v>
      </c>
      <c r="L53" s="99">
        <f t="shared" si="1"/>
        <v>2580</v>
      </c>
      <c r="M53" s="99">
        <f t="shared" si="4"/>
        <v>2580</v>
      </c>
      <c r="N53" s="40">
        <v>0.06</v>
      </c>
      <c r="O53" s="108">
        <v>0.161</v>
      </c>
      <c r="P53" s="373">
        <f t="shared" si="5"/>
        <v>3893.2200000000003</v>
      </c>
    </row>
    <row r="54" spans="1:16" s="46" customFormat="1" ht="14.25">
      <c r="A54" s="115" t="s">
        <v>30</v>
      </c>
      <c r="B54" s="92"/>
      <c r="C54" s="100">
        <v>1</v>
      </c>
      <c r="D54" s="92"/>
      <c r="E54" s="117" t="s">
        <v>16</v>
      </c>
      <c r="F54" s="92"/>
      <c r="G54" s="296">
        <v>63200</v>
      </c>
      <c r="H54" s="92"/>
      <c r="I54" s="220">
        <v>60000</v>
      </c>
      <c r="J54" s="97"/>
      <c r="K54" s="98">
        <v>16</v>
      </c>
      <c r="L54" s="99">
        <v>0</v>
      </c>
      <c r="M54" s="99">
        <f>L54*C54</f>
        <v>0</v>
      </c>
      <c r="N54" s="40">
        <v>0.07</v>
      </c>
      <c r="O54" s="108">
        <v>0.105857647726243</v>
      </c>
      <c r="P54" s="373">
        <f>O54*(I54-L54)+(N54*L54)</f>
        <v>6351.4588635745795</v>
      </c>
    </row>
    <row r="55" spans="1:16" s="252" customFormat="1" ht="6.75" customHeight="1">
      <c r="A55" s="275"/>
      <c r="B55" s="275"/>
      <c r="C55" s="330"/>
      <c r="D55" s="275"/>
      <c r="E55" s="276"/>
      <c r="F55" s="275"/>
      <c r="G55" s="278"/>
      <c r="H55" s="275"/>
      <c r="I55" s="279"/>
      <c r="J55" s="280"/>
      <c r="K55" s="98"/>
      <c r="L55" s="282"/>
      <c r="M55" s="282"/>
      <c r="N55" s="263"/>
      <c r="O55" s="287"/>
      <c r="P55" s="348"/>
    </row>
    <row r="56" spans="1:16" s="252" customFormat="1" ht="6.75" customHeight="1">
      <c r="A56" s="275"/>
      <c r="B56" s="275"/>
      <c r="C56" s="330"/>
      <c r="D56" s="275"/>
      <c r="E56" s="276"/>
      <c r="F56" s="275"/>
      <c r="G56" s="278"/>
      <c r="H56" s="275"/>
      <c r="I56" s="279"/>
      <c r="J56" s="280"/>
      <c r="K56" s="98"/>
      <c r="L56" s="282"/>
      <c r="M56" s="282"/>
      <c r="N56" s="263"/>
      <c r="O56" s="287"/>
      <c r="P56" s="348"/>
    </row>
    <row r="57" spans="1:16" ht="14.25">
      <c r="A57" s="92" t="s">
        <v>31</v>
      </c>
      <c r="B57" s="92"/>
      <c r="C57" s="93"/>
      <c r="D57" s="92"/>
      <c r="E57" s="94"/>
      <c r="F57" s="92"/>
      <c r="G57" s="92"/>
      <c r="H57" s="92"/>
      <c r="I57" s="220">
        <f>SUM(I12:J54)-(I15+I20+I24+I28+I32)</f>
        <v>12106415</v>
      </c>
      <c r="J57" s="97"/>
      <c r="K57" s="39"/>
      <c r="L57" s="213">
        <f>SUM(L8:L56)</f>
        <v>116535</v>
      </c>
      <c r="M57" s="251"/>
      <c r="N57" s="40"/>
      <c r="O57" s="108"/>
      <c r="P57" s="348"/>
    </row>
    <row r="58" spans="1:16" ht="14.25">
      <c r="A58" s="92" t="s">
        <v>247</v>
      </c>
      <c r="B58" s="92"/>
      <c r="C58" s="93"/>
      <c r="D58" s="92"/>
      <c r="E58" s="94"/>
      <c r="F58" s="92"/>
      <c r="G58" s="92"/>
      <c r="H58" s="92"/>
      <c r="I58" s="220">
        <f>I57/$C$9</f>
        <v>2421.283</v>
      </c>
      <c r="J58" s="97"/>
      <c r="K58" s="98"/>
      <c r="L58" s="367"/>
      <c r="M58" s="250"/>
      <c r="N58" s="40"/>
      <c r="O58" s="108"/>
      <c r="P58" s="348"/>
    </row>
    <row r="59" spans="1:16" s="252" customFormat="1" ht="6.75" customHeight="1">
      <c r="A59" s="275"/>
      <c r="B59" s="275"/>
      <c r="C59" s="330"/>
      <c r="D59" s="275"/>
      <c r="E59" s="276"/>
      <c r="F59" s="275"/>
      <c r="G59" s="278"/>
      <c r="H59" s="275"/>
      <c r="I59" s="279"/>
      <c r="J59" s="280"/>
      <c r="K59" s="98"/>
      <c r="L59" s="282"/>
      <c r="M59" s="282"/>
      <c r="N59" s="263"/>
      <c r="O59" s="287"/>
      <c r="P59" s="348"/>
    </row>
    <row r="60" spans="1:16" s="241" customFormat="1" ht="15" customHeight="1">
      <c r="A60" s="275" t="s">
        <v>184</v>
      </c>
      <c r="B60" s="244"/>
      <c r="C60" s="109"/>
      <c r="D60" s="244"/>
      <c r="E60" s="248"/>
      <c r="F60" s="244"/>
      <c r="G60" s="110"/>
      <c r="H60" s="243"/>
      <c r="I60" s="249">
        <f>AVERAGE(I57,L57)</f>
        <v>6111475</v>
      </c>
      <c r="J60" s="245"/>
      <c r="K60" s="98"/>
      <c r="L60" s="246"/>
      <c r="M60" s="246"/>
      <c r="N60" s="242"/>
      <c r="O60" s="247"/>
      <c r="P60" s="348"/>
    </row>
    <row r="61" spans="1:16" s="241" customFormat="1" ht="15" customHeight="1">
      <c r="A61" s="275" t="s">
        <v>235</v>
      </c>
      <c r="B61" s="244"/>
      <c r="C61" s="109"/>
      <c r="D61" s="244"/>
      <c r="E61" s="248"/>
      <c r="F61" s="244"/>
      <c r="G61" s="110"/>
      <c r="H61" s="243"/>
      <c r="I61" s="371">
        <f>I60/5000</f>
        <v>1222.295</v>
      </c>
      <c r="J61" s="245"/>
      <c r="K61" s="98"/>
      <c r="L61" s="246"/>
      <c r="M61" s="246"/>
      <c r="N61" s="242"/>
      <c r="O61" s="247"/>
      <c r="P61" s="348"/>
    </row>
    <row r="62" spans="1:16" s="252" customFormat="1" ht="6.75" customHeight="1">
      <c r="A62" s="275"/>
      <c r="B62" s="275"/>
      <c r="C62" s="330"/>
      <c r="D62" s="275"/>
      <c r="E62" s="276"/>
      <c r="F62" s="275"/>
      <c r="G62" s="278"/>
      <c r="H62" s="275"/>
      <c r="I62" s="279"/>
      <c r="J62" s="280"/>
      <c r="K62" s="98"/>
      <c r="L62" s="282"/>
      <c r="M62" s="282"/>
      <c r="N62" s="263"/>
      <c r="O62" s="287"/>
      <c r="P62" s="348"/>
    </row>
    <row r="63" spans="1:16" ht="14.25">
      <c r="A63" s="92" t="s">
        <v>93</v>
      </c>
      <c r="B63" s="92"/>
      <c r="C63" s="93"/>
      <c r="D63" s="92"/>
      <c r="E63" s="94"/>
      <c r="F63" s="92"/>
      <c r="G63" s="92"/>
      <c r="H63" s="92"/>
      <c r="I63" s="220">
        <f>P63</f>
        <v>2433218.607497451</v>
      </c>
      <c r="J63" s="97"/>
      <c r="K63" s="39"/>
      <c r="L63" s="213"/>
      <c r="M63" s="213"/>
      <c r="N63" s="40"/>
      <c r="O63" s="108"/>
      <c r="P63" s="373">
        <f>SUM($P$8:$P$58)-$P$32</f>
        <v>2433218.607497451</v>
      </c>
    </row>
    <row r="64" spans="1:16" ht="14.25">
      <c r="A64" s="92" t="s">
        <v>236</v>
      </c>
      <c r="B64" s="92"/>
      <c r="C64" s="93"/>
      <c r="D64" s="92"/>
      <c r="E64" s="94"/>
      <c r="F64" s="92"/>
      <c r="G64" s="92"/>
      <c r="H64" s="92"/>
      <c r="I64" s="220">
        <f>P64</f>
        <v>486.6437214994902</v>
      </c>
      <c r="J64" s="97"/>
      <c r="K64" s="111"/>
      <c r="L64" s="214"/>
      <c r="M64" s="214"/>
      <c r="N64" s="199"/>
      <c r="O64" s="205"/>
      <c r="P64" s="373">
        <f>P63/TotalCows</f>
        <v>486.6437214994902</v>
      </c>
    </row>
    <row r="65" spans="1:16" ht="1.5" customHeight="1">
      <c r="A65" s="87"/>
      <c r="B65" s="87"/>
      <c r="C65" s="86"/>
      <c r="D65" s="87"/>
      <c r="E65" s="88"/>
      <c r="F65" s="87"/>
      <c r="G65" s="87"/>
      <c r="H65" s="87"/>
      <c r="I65" s="89"/>
      <c r="J65" s="90"/>
      <c r="K65" s="112"/>
      <c r="L65" s="215"/>
      <c r="M65" s="215"/>
      <c r="N65" s="200"/>
      <c r="O65" s="206"/>
      <c r="P65" s="374"/>
    </row>
    <row r="66" spans="1:16" s="46" customFormat="1" ht="15">
      <c r="A66" s="126"/>
      <c r="B66" s="126"/>
      <c r="C66" s="128"/>
      <c r="D66" s="126"/>
      <c r="E66" s="129"/>
      <c r="F66" s="126"/>
      <c r="G66" s="126"/>
      <c r="H66" s="126"/>
      <c r="I66" s="126"/>
      <c r="J66" s="126"/>
      <c r="K66" s="185"/>
      <c r="L66" s="216"/>
      <c r="M66" s="216"/>
      <c r="N66" s="186"/>
      <c r="O66" s="207"/>
      <c r="P66" s="375"/>
    </row>
    <row r="67" spans="1:16" s="46" customFormat="1" ht="15">
      <c r="A67" s="126"/>
      <c r="B67" s="126"/>
      <c r="C67" s="128"/>
      <c r="D67" s="126"/>
      <c r="E67" s="129"/>
      <c r="F67" s="126"/>
      <c r="G67" s="126"/>
      <c r="H67" s="126"/>
      <c r="I67" s="126"/>
      <c r="J67" s="126"/>
      <c r="K67" s="185"/>
      <c r="L67" s="216"/>
      <c r="M67" s="216"/>
      <c r="N67" s="186"/>
      <c r="O67" s="207"/>
      <c r="P67" s="375"/>
    </row>
    <row r="68" spans="1:16" s="46" customFormat="1" ht="15">
      <c r="A68" s="126"/>
      <c r="B68" s="126"/>
      <c r="C68" s="128"/>
      <c r="D68" s="126"/>
      <c r="E68" s="129"/>
      <c r="F68" s="126"/>
      <c r="G68" s="126"/>
      <c r="H68" s="126"/>
      <c r="I68" s="126"/>
      <c r="J68" s="126"/>
      <c r="K68" s="185"/>
      <c r="L68" s="216"/>
      <c r="M68" s="216"/>
      <c r="N68" s="186"/>
      <c r="O68" s="207"/>
      <c r="P68" s="375"/>
    </row>
    <row r="69" spans="1:16" s="46" customFormat="1" ht="15">
      <c r="A69" s="35"/>
      <c r="B69" s="35"/>
      <c r="C69" s="128"/>
      <c r="D69" s="35"/>
      <c r="E69" s="131"/>
      <c r="F69" s="35"/>
      <c r="G69" s="35"/>
      <c r="H69" s="35"/>
      <c r="I69" s="35"/>
      <c r="J69" s="35"/>
      <c r="K69" s="187"/>
      <c r="L69" s="217"/>
      <c r="M69" s="217"/>
      <c r="N69" s="186"/>
      <c r="O69" s="208"/>
      <c r="P69" s="376"/>
    </row>
    <row r="70" spans="1:16" s="46" customFormat="1" ht="15">
      <c r="A70" s="35"/>
      <c r="B70" s="35"/>
      <c r="C70" s="128"/>
      <c r="D70" s="35"/>
      <c r="E70" s="131"/>
      <c r="F70" s="35"/>
      <c r="G70" s="35"/>
      <c r="H70" s="35"/>
      <c r="I70" s="35"/>
      <c r="J70" s="35"/>
      <c r="K70" s="187"/>
      <c r="L70" s="217"/>
      <c r="M70" s="217"/>
      <c r="N70" s="186"/>
      <c r="O70" s="208"/>
      <c r="P70" s="376"/>
    </row>
    <row r="71" spans="1:16" s="46" customFormat="1" ht="15">
      <c r="A71" s="35"/>
      <c r="B71" s="35"/>
      <c r="C71" s="128"/>
      <c r="D71" s="35"/>
      <c r="E71" s="131"/>
      <c r="F71" s="35"/>
      <c r="G71" s="35"/>
      <c r="H71" s="35"/>
      <c r="I71" s="35"/>
      <c r="J71" s="35"/>
      <c r="K71" s="187"/>
      <c r="L71" s="217"/>
      <c r="M71" s="217"/>
      <c r="N71" s="186"/>
      <c r="O71" s="208"/>
      <c r="P71" s="376"/>
    </row>
    <row r="72" spans="1:16" s="46" customFormat="1" ht="15">
      <c r="A72" s="35"/>
      <c r="B72" s="35"/>
      <c r="C72" s="128"/>
      <c r="D72" s="35"/>
      <c r="E72" s="131"/>
      <c r="F72" s="35"/>
      <c r="G72" s="35"/>
      <c r="H72" s="35"/>
      <c r="I72" s="35"/>
      <c r="J72" s="35"/>
      <c r="K72" s="187"/>
      <c r="L72" s="217"/>
      <c r="M72" s="217"/>
      <c r="N72" s="186"/>
      <c r="O72" s="208"/>
      <c r="P72" s="376"/>
    </row>
    <row r="73" spans="1:16" s="46" customFormat="1" ht="15">
      <c r="A73" s="35"/>
      <c r="B73" s="35"/>
      <c r="C73" s="128"/>
      <c r="D73" s="35"/>
      <c r="E73" s="131"/>
      <c r="F73" s="35"/>
      <c r="G73" s="35"/>
      <c r="H73" s="35"/>
      <c r="I73" s="35"/>
      <c r="J73" s="35"/>
      <c r="K73" s="187"/>
      <c r="L73" s="217"/>
      <c r="M73" s="217"/>
      <c r="N73" s="186"/>
      <c r="O73" s="208"/>
      <c r="P73" s="376"/>
    </row>
    <row r="74" spans="1:16" s="46" customFormat="1" ht="15">
      <c r="A74" s="35"/>
      <c r="B74" s="35"/>
      <c r="C74" s="128"/>
      <c r="D74" s="35"/>
      <c r="E74" s="131"/>
      <c r="F74" s="35"/>
      <c r="G74" s="35"/>
      <c r="H74" s="35"/>
      <c r="I74" s="35"/>
      <c r="J74" s="35"/>
      <c r="K74" s="187"/>
      <c r="L74" s="217"/>
      <c r="M74" s="217"/>
      <c r="N74" s="186"/>
      <c r="O74" s="208"/>
      <c r="P74" s="376"/>
    </row>
    <row r="75" spans="3:16" s="46" customFormat="1" ht="14.25">
      <c r="C75" s="23"/>
      <c r="E75" s="20"/>
      <c r="I75" s="19"/>
      <c r="K75" s="54"/>
      <c r="L75" s="218"/>
      <c r="M75" s="218"/>
      <c r="N75" s="188"/>
      <c r="O75" s="209"/>
      <c r="P75" s="377"/>
    </row>
  </sheetData>
  <sheetProtection/>
  <mergeCells count="3">
    <mergeCell ref="N5:P5"/>
    <mergeCell ref="M1:P1"/>
    <mergeCell ref="A1:J1"/>
  </mergeCells>
  <printOptions horizontalCentered="1"/>
  <pageMargins left="0.7" right="0.7" top="0.75" bottom="0.75" header="0.3" footer="0.3"/>
  <pageSetup fitToHeight="1" fitToWidth="1" horizontalDpi="600" verticalDpi="600" orientation="portrait" scale="76" r:id="rId4"/>
  <headerFooter>
    <oddFooter>&amp;L&amp;F&amp;C&amp;A&amp;R&amp;D</oddFooter>
  </headerFooter>
  <drawing r:id="rId3"/>
  <legacyDrawing r:id="rId2"/>
</worksheet>
</file>

<file path=xl/worksheets/sheet7.xml><?xml version="1.0" encoding="utf-8"?>
<worksheet xmlns="http://schemas.openxmlformats.org/spreadsheetml/2006/main" xmlns:r="http://schemas.openxmlformats.org/officeDocument/2006/relationships">
  <dimension ref="A1:N31"/>
  <sheetViews>
    <sheetView zoomScalePageLayoutView="0" workbookViewId="0" topLeftCell="A1">
      <selection activeCell="D19" sqref="D19"/>
    </sheetView>
  </sheetViews>
  <sheetFormatPr defaultColWidth="9.140625" defaultRowHeight="15"/>
  <sheetData>
    <row r="1" spans="1:14" ht="15">
      <c r="A1" s="428" t="s">
        <v>96</v>
      </c>
      <c r="B1" s="428"/>
      <c r="C1" s="428"/>
      <c r="D1" s="428"/>
      <c r="E1" s="428"/>
      <c r="F1" s="428"/>
      <c r="G1" s="428"/>
      <c r="H1" s="428"/>
      <c r="I1" s="428"/>
      <c r="J1" s="428"/>
      <c r="K1" s="428"/>
      <c r="L1" s="428"/>
      <c r="M1" s="428"/>
      <c r="N1" s="428"/>
    </row>
    <row r="2" spans="1:14" ht="15">
      <c r="A2" s="429" t="s">
        <v>82</v>
      </c>
      <c r="B2" s="430"/>
      <c r="C2" s="430"/>
      <c r="D2" s="430"/>
      <c r="E2" s="430"/>
      <c r="F2" s="430"/>
      <c r="G2" s="430"/>
      <c r="H2" s="430"/>
      <c r="I2" s="430"/>
      <c r="J2" s="430"/>
      <c r="K2" s="430"/>
      <c r="L2" s="430"/>
      <c r="M2" s="430"/>
      <c r="N2" s="431"/>
    </row>
    <row r="3" spans="1:14" ht="15">
      <c r="A3" s="43" t="s">
        <v>97</v>
      </c>
      <c r="B3" s="44">
        <v>0.06</v>
      </c>
      <c r="C3" s="44">
        <v>0.065</v>
      </c>
      <c r="D3" s="44">
        <v>0.07</v>
      </c>
      <c r="E3" s="44">
        <v>0.075</v>
      </c>
      <c r="F3" s="44">
        <v>0.08</v>
      </c>
      <c r="G3" s="44">
        <v>0.085</v>
      </c>
      <c r="H3" s="44">
        <v>0.09</v>
      </c>
      <c r="I3" s="44">
        <v>0.095</v>
      </c>
      <c r="J3" s="44">
        <v>0.1</v>
      </c>
      <c r="K3" s="44">
        <v>0.105</v>
      </c>
      <c r="L3" s="44">
        <v>0.11</v>
      </c>
      <c r="M3" s="44">
        <v>0.115</v>
      </c>
      <c r="N3" s="44">
        <v>0.12</v>
      </c>
    </row>
    <row r="4" spans="1:14" ht="15">
      <c r="A4" s="41">
        <v>1</v>
      </c>
      <c r="B4" s="42">
        <v>1.059999999999998</v>
      </c>
      <c r="C4" s="42">
        <v>1.0650000000000002</v>
      </c>
      <c r="D4" s="42">
        <v>1.07</v>
      </c>
      <c r="E4" s="42">
        <v>1.0749999999999997</v>
      </c>
      <c r="F4" s="42">
        <v>1.0799999999999985</v>
      </c>
      <c r="G4" s="42">
        <v>1.0850000000000002</v>
      </c>
      <c r="H4" s="42">
        <v>1.0899999999999992</v>
      </c>
      <c r="I4" s="42">
        <v>1.0950000000000009</v>
      </c>
      <c r="J4" s="42">
        <v>1.0999999999999996</v>
      </c>
      <c r="K4" s="42">
        <v>1.105</v>
      </c>
      <c r="L4" s="42">
        <v>1.109999999999999</v>
      </c>
      <c r="M4" s="42">
        <v>1.1150000000000004</v>
      </c>
      <c r="N4" s="42">
        <v>1.1199999999999992</v>
      </c>
    </row>
    <row r="5" spans="1:14" ht="15">
      <c r="A5" s="41">
        <v>2</v>
      </c>
      <c r="B5" s="42">
        <v>0.5454368932038829</v>
      </c>
      <c r="C5" s="42">
        <v>0.5492615012106543</v>
      </c>
      <c r="D5" s="42">
        <v>0.5530917874396133</v>
      </c>
      <c r="E5" s="42">
        <v>0.5569277108433737</v>
      </c>
      <c r="F5" s="42">
        <v>0.5607692307692306</v>
      </c>
      <c r="G5" s="42">
        <v>0.5646163069544368</v>
      </c>
      <c r="H5" s="42">
        <v>0.5684688995215307</v>
      </c>
      <c r="I5" s="42">
        <v>0.5723269689737471</v>
      </c>
      <c r="J5" s="42">
        <v>0.5761904761904759</v>
      </c>
      <c r="K5" s="42">
        <v>0.5800593824228029</v>
      </c>
      <c r="L5" s="42">
        <v>0.583933649289099</v>
      </c>
      <c r="M5" s="42">
        <v>0.5878132387706857</v>
      </c>
      <c r="N5" s="42">
        <v>0.591698113207547</v>
      </c>
    </row>
    <row r="6" spans="1:14" ht="15">
      <c r="A6" s="41">
        <v>3</v>
      </c>
      <c r="B6" s="42">
        <v>0.374109812790551</v>
      </c>
      <c r="C6" s="42">
        <v>0.377575701927811</v>
      </c>
      <c r="D6" s="42">
        <v>0.3810516656816695</v>
      </c>
      <c r="E6" s="42">
        <v>0.38453762816792436</v>
      </c>
      <c r="F6" s="42">
        <v>0.388033514046328</v>
      </c>
      <c r="G6" s="42">
        <v>0.3915392485190322</v>
      </c>
      <c r="H6" s="42">
        <v>0.3950547573289404</v>
      </c>
      <c r="I6" s="42">
        <v>0.39857996675799373</v>
      </c>
      <c r="J6" s="42">
        <v>0.4021148036253773</v>
      </c>
      <c r="K6" s="42">
        <v>0.4056591952856638</v>
      </c>
      <c r="L6" s="42">
        <v>0.4092130696268811</v>
      </c>
      <c r="M6" s="42">
        <v>0.41277635506852584</v>
      </c>
      <c r="N6" s="42">
        <v>0.4163489805595066</v>
      </c>
    </row>
    <row r="7" spans="1:14" ht="15">
      <c r="A7" s="41">
        <v>4</v>
      </c>
      <c r="B7" s="42">
        <v>0.2885914923732732</v>
      </c>
      <c r="C7" s="42">
        <v>0.29190274043770204</v>
      </c>
      <c r="D7" s="42">
        <v>0.2952281166672635</v>
      </c>
      <c r="E7" s="42">
        <v>0.29856750865450793</v>
      </c>
      <c r="F7" s="42">
        <v>0.3019208044540392</v>
      </c>
      <c r="G7" s="42">
        <v>0.305287892594673</v>
      </c>
      <c r="H7" s="42">
        <v>0.3086686620910976</v>
      </c>
      <c r="I7" s="42">
        <v>0.31206300245506396</v>
      </c>
      <c r="J7" s="42">
        <v>0.31547080370609765</v>
      </c>
      <c r="K7" s="42">
        <v>0.3188919563817619</v>
      </c>
      <c r="L7" s="42">
        <v>0.32232635154746614</v>
      </c>
      <c r="M7" s="42">
        <v>0.32577388080584224</v>
      </c>
      <c r="N7" s="42">
        <v>0.3292344363056897</v>
      </c>
    </row>
    <row r="8" spans="1:14" ht="15">
      <c r="A8" s="41">
        <v>5</v>
      </c>
      <c r="B8" s="42">
        <v>0.23739640043118937</v>
      </c>
      <c r="C8" s="42">
        <v>0.24063453759748696</v>
      </c>
      <c r="D8" s="42">
        <v>0.24389069444137404</v>
      </c>
      <c r="E8" s="42">
        <v>0.24716471778672036</v>
      </c>
      <c r="F8" s="42">
        <v>0.2504564545668365</v>
      </c>
      <c r="G8" s="42">
        <v>0.25376575186549916</v>
      </c>
      <c r="H8" s="42">
        <v>0.25709245695674476</v>
      </c>
      <c r="I8" s="42">
        <v>0.2604364173434561</v>
      </c>
      <c r="J8" s="42">
        <v>0.26379748079474524</v>
      </c>
      <c r="K8" s="42">
        <v>0.2671754953821627</v>
      </c>
      <c r="L8" s="42">
        <v>0.2705703095147344</v>
      </c>
      <c r="M8" s="42">
        <v>0.27398177197285556</v>
      </c>
      <c r="N8" s="42">
        <v>0.27740973194104873</v>
      </c>
    </row>
    <row r="9" spans="1:14" ht="15">
      <c r="A9" s="41">
        <v>6</v>
      </c>
      <c r="B9" s="42">
        <v>0.20336262847489525</v>
      </c>
      <c r="C9" s="42">
        <v>0.20656831224254543</v>
      </c>
      <c r="D9" s="42">
        <v>0.20979579975832816</v>
      </c>
      <c r="E9" s="42">
        <v>0.21304489120911982</v>
      </c>
      <c r="F9" s="42">
        <v>0.21631538622900967</v>
      </c>
      <c r="G9" s="42">
        <v>0.21960708399028273</v>
      </c>
      <c r="H9" s="42">
        <v>0.22291978329203693</v>
      </c>
      <c r="I9" s="42">
        <v>0.2262532826464473</v>
      </c>
      <c r="J9" s="42">
        <v>0.22960738036266728</v>
      </c>
      <c r="K9" s="42">
        <v>0.2329818746283858</v>
      </c>
      <c r="L9" s="42">
        <v>0.23637656358903944</v>
      </c>
      <c r="M9" s="42">
        <v>0.23979124542469749</v>
      </c>
      <c r="N9" s="42">
        <v>0.24322571842462917</v>
      </c>
    </row>
    <row r="10" spans="1:14" ht="15">
      <c r="A10" s="41">
        <v>7</v>
      </c>
      <c r="B10" s="42">
        <v>0.17913501805901066</v>
      </c>
      <c r="C10" s="42">
        <v>0.18233136931088845</v>
      </c>
      <c r="D10" s="42">
        <v>0.1855532196311593</v>
      </c>
      <c r="E10" s="42">
        <v>0.18880031539601275</v>
      </c>
      <c r="F10" s="42">
        <v>0.19207240142841048</v>
      </c>
      <c r="G10" s="42">
        <v>0.19536922116742575</v>
      </c>
      <c r="H10" s="42">
        <v>0.19869051683359293</v>
      </c>
      <c r="I10" s="42">
        <v>0.20203602959021816</v>
      </c>
      <c r="J10" s="42">
        <v>0.20540549970059557</v>
      </c>
      <c r="K10" s="42">
        <v>0.2087986666810969</v>
      </c>
      <c r="L10" s="42">
        <v>0.21221526945009764</v>
      </c>
      <c r="M10" s="42">
        <v>0.21565504647272252</v>
      </c>
      <c r="N10" s="42">
        <v>0.21911773590139075</v>
      </c>
    </row>
    <row r="11" spans="1:14" ht="15">
      <c r="A11" s="41">
        <v>8</v>
      </c>
      <c r="B11" s="42">
        <v>0.16103594264812895</v>
      </c>
      <c r="C11" s="42">
        <v>0.16423729705258017</v>
      </c>
      <c r="D11" s="42">
        <v>0.16746776249075465</v>
      </c>
      <c r="E11" s="42">
        <v>0.17072702322013064</v>
      </c>
      <c r="F11" s="42">
        <v>0.17401476059182208</v>
      </c>
      <c r="G11" s="42">
        <v>0.1773306533354076</v>
      </c>
      <c r="H11" s="42">
        <v>0.18067437783749626</v>
      </c>
      <c r="I11" s="42">
        <v>0.18404560841384052</v>
      </c>
      <c r="J11" s="42">
        <v>0.18744401757481335</v>
      </c>
      <c r="K11" s="42">
        <v>0.19086927628410505</v>
      </c>
      <c r="L11" s="42">
        <v>0.19432105421050003</v>
      </c>
      <c r="M11" s="42">
        <v>0.19779901997262925</v>
      </c>
      <c r="N11" s="42">
        <v>0.2013028413766002</v>
      </c>
    </row>
    <row r="12" spans="1:14" ht="15">
      <c r="A12" s="41">
        <v>9</v>
      </c>
      <c r="B12" s="42">
        <v>0.14702223500306358</v>
      </c>
      <c r="C12" s="42">
        <v>0.15023803291975996</v>
      </c>
      <c r="D12" s="42">
        <v>0.15348647013842193</v>
      </c>
      <c r="E12" s="42">
        <v>0.15676715948422348</v>
      </c>
      <c r="F12" s="42">
        <v>0.1600797091719947</v>
      </c>
      <c r="G12" s="42">
        <v>0.16342372325381363</v>
      </c>
      <c r="H12" s="42">
        <v>0.1667988020571548</v>
      </c>
      <c r="I12" s="42">
        <v>0.17020454261312362</v>
      </c>
      <c r="J12" s="42">
        <v>0.17364053907434343</v>
      </c>
      <c r="K12" s="42">
        <v>0.17710638312212132</v>
      </c>
      <c r="L12" s="42">
        <v>0.18060166436255287</v>
      </c>
      <c r="M12" s="42">
        <v>0.1841259707112812</v>
      </c>
      <c r="N12" s="42">
        <v>0.18767888876666056</v>
      </c>
    </row>
    <row r="13" spans="1:14" ht="15">
      <c r="A13" s="41">
        <v>10</v>
      </c>
      <c r="B13" s="42">
        <v>0.13586795822038372</v>
      </c>
      <c r="C13" s="42">
        <v>0.1391046900556679</v>
      </c>
      <c r="D13" s="42">
        <v>0.1423775027273647</v>
      </c>
      <c r="E13" s="42">
        <v>0.14568592742612232</v>
      </c>
      <c r="F13" s="42">
        <v>0.14902948869707536</v>
      </c>
      <c r="G13" s="42">
        <v>0.152407705108919</v>
      </c>
      <c r="H13" s="42">
        <v>0.15582008990903373</v>
      </c>
      <c r="I13" s="42">
        <v>0.1592661516636982</v>
      </c>
      <c r="J13" s="42">
        <v>0.16274539488251152</v>
      </c>
      <c r="K13" s="42">
        <v>0.16625732062625342</v>
      </c>
      <c r="L13" s="42">
        <v>0.16980142709749024</v>
      </c>
      <c r="M13" s="42">
        <v>0.17337721021333447</v>
      </c>
      <c r="N13" s="42">
        <v>0.17698416415984403</v>
      </c>
    </row>
    <row r="14" spans="1:14" ht="15">
      <c r="A14" s="41">
        <v>11</v>
      </c>
      <c r="B14" s="42">
        <v>0.1267929380975316</v>
      </c>
      <c r="C14" s="42">
        <v>0.13005520581435448</v>
      </c>
      <c r="D14" s="42">
        <v>0.13335690483624485</v>
      </c>
      <c r="E14" s="42">
        <v>0.13669747374389427</v>
      </c>
      <c r="F14" s="42">
        <v>0.14007634214449127</v>
      </c>
      <c r="G14" s="42">
        <v>0.14349293163355584</v>
      </c>
      <c r="H14" s="42">
        <v>0.14694665673635587</v>
      </c>
      <c r="I14" s="42">
        <v>0.15043692582714324</v>
      </c>
      <c r="J14" s="42">
        <v>0.15396314202461459</v>
      </c>
      <c r="K14" s="42">
        <v>0.1575247040621873</v>
      </c>
      <c r="L14" s="42">
        <v>0.16112100713184244</v>
      </c>
      <c r="M14" s="42">
        <v>0.1647514437004625</v>
      </c>
      <c r="N14" s="42">
        <v>0.16841540429774643</v>
      </c>
    </row>
    <row r="15" spans="1:14" ht="15">
      <c r="A15" s="41">
        <v>12</v>
      </c>
      <c r="B15" s="42">
        <v>0.11927702938066355</v>
      </c>
      <c r="C15" s="42">
        <v>0.12256816612111758</v>
      </c>
      <c r="D15" s="42">
        <v>0.12590198865502045</v>
      </c>
      <c r="E15" s="42">
        <v>0.1292778313218941</v>
      </c>
      <c r="F15" s="42">
        <v>0.1326950169244695</v>
      </c>
      <c r="G15" s="42">
        <v>0.13615285806795047</v>
      </c>
      <c r="H15" s="42">
        <v>0.13965065846950367</v>
      </c>
      <c r="I15" s="42">
        <v>0.14318771423499385</v>
      </c>
      <c r="J15" s="42">
        <v>0.14676331510028726</v>
      </c>
      <c r="K15" s="42">
        <v>0.1503767456347657</v>
      </c>
      <c r="L15" s="42">
        <v>0.15402728640498858</v>
      </c>
      <c r="M15" s="42">
        <v>0.1577142150967421</v>
      </c>
      <c r="N15" s="42">
        <v>0.16143680759399573</v>
      </c>
    </row>
    <row r="16" spans="1:14" ht="15">
      <c r="A16" s="41">
        <v>13</v>
      </c>
      <c r="B16" s="42">
        <v>0.11296010534001905</v>
      </c>
      <c r="C16" s="42">
        <v>0.11628255713863381</v>
      </c>
      <c r="D16" s="42">
        <v>0.11965084813625726</v>
      </c>
      <c r="E16" s="42">
        <v>0.12306419626457941</v>
      </c>
      <c r="F16" s="42">
        <v>0.12652180519655568</v>
      </c>
      <c r="G16" s="42">
        <v>0.13002286616163328</v>
      </c>
      <c r="H16" s="42">
        <v>0.13356655971767886</v>
      </c>
      <c r="I16" s="42">
        <v>0.13715205747486575</v>
      </c>
      <c r="J16" s="42">
        <v>0.14077852376730213</v>
      </c>
      <c r="K16" s="42">
        <v>0.14444511726871467</v>
      </c>
      <c r="L16" s="42">
        <v>0.14815099254900796</v>
      </c>
      <c r="M16" s="42">
        <v>0.15189530156902564</v>
      </c>
      <c r="N16" s="42">
        <v>0.15567719511131664</v>
      </c>
    </row>
    <row r="17" spans="1:14" ht="15">
      <c r="A17" s="41">
        <v>14</v>
      </c>
      <c r="B17" s="42">
        <v>0.10758490900609531</v>
      </c>
      <c r="C17" s="42">
        <v>0.11094048058054973</v>
      </c>
      <c r="D17" s="42">
        <v>0.1143449386198428</v>
      </c>
      <c r="E17" s="42">
        <v>0.11779737206870773</v>
      </c>
      <c r="F17" s="42">
        <v>0.12129685282784078</v>
      </c>
      <c r="G17" s="42">
        <v>0.12484243815752435</v>
      </c>
      <c r="H17" s="42">
        <v>0.128433173018556</v>
      </c>
      <c r="I17" s="42">
        <v>0.13206809234331218</v>
      </c>
      <c r="J17" s="42">
        <v>0.13574622323063665</v>
      </c>
      <c r="K17" s="42">
        <v>0.13946658705910925</v>
      </c>
      <c r="L17" s="42">
        <v>0.14322820151407872</v>
      </c>
      <c r="M17" s="42">
        <v>0.14703008252466143</v>
      </c>
      <c r="N17" s="42">
        <v>0.1508712461076816</v>
      </c>
    </row>
    <row r="18" spans="1:14" ht="15">
      <c r="A18" s="41">
        <v>15</v>
      </c>
      <c r="B18" s="42">
        <v>0.10296276395531263</v>
      </c>
      <c r="C18" s="42">
        <v>0.10635278296506255</v>
      </c>
      <c r="D18" s="42">
        <v>0.10979462470100652</v>
      </c>
      <c r="E18" s="42">
        <v>0.11328723625419036</v>
      </c>
      <c r="F18" s="42">
        <v>0.11682954493602</v>
      </c>
      <c r="G18" s="42">
        <v>0.1204204613961629</v>
      </c>
      <c r="H18" s="42">
        <v>0.12405888265031005</v>
      </c>
      <c r="I18" s="42">
        <v>0.12774369500741206</v>
      </c>
      <c r="J18" s="42">
        <v>0.13147377688737216</v>
      </c>
      <c r="K18" s="42">
        <v>0.13524800152154118</v>
      </c>
      <c r="L18" s="42">
        <v>0.1390652395296684</v>
      </c>
      <c r="M18" s="42">
        <v>0.14292436136824055</v>
      </c>
      <c r="N18" s="42">
        <v>0.14682423964634628</v>
      </c>
    </row>
    <row r="19" spans="1:14" ht="15">
      <c r="A19" s="41">
        <v>16</v>
      </c>
      <c r="B19" s="42">
        <v>0.0989521435893672</v>
      </c>
      <c r="C19" s="42">
        <v>0.1023775739545172</v>
      </c>
      <c r="D19" s="42">
        <v>0.105857647726243</v>
      </c>
      <c r="E19" s="42">
        <v>0.10939115711324698</v>
      </c>
      <c r="F19" s="42">
        <v>0.11297687198822258</v>
      </c>
      <c r="G19" s="42">
        <v>0.11661354385837014</v>
      </c>
      <c r="H19" s="42">
        <v>0.12029990970758213</v>
      </c>
      <c r="I19" s="42">
        <v>0.12403469569581307</v>
      </c>
      <c r="J19" s="42">
        <v>0.12781662070326982</v>
      </c>
      <c r="K19" s="42">
        <v>0.131644399709139</v>
      </c>
      <c r="L19" s="42">
        <v>0.13551674699657215</v>
      </c>
      <c r="M19" s="42">
        <v>0.13943237917757845</v>
      </c>
      <c r="N19" s="42">
        <v>0.1433900180332936</v>
      </c>
    </row>
    <row r="20" spans="1:14" ht="15">
      <c r="A20" s="41">
        <v>17</v>
      </c>
      <c r="B20" s="42">
        <v>0.09544480423154984</v>
      </c>
      <c r="C20" s="42">
        <v>0.09890632650520463</v>
      </c>
      <c r="D20" s="42">
        <v>0.1024251930616656</v>
      </c>
      <c r="E20" s="42">
        <v>0.10600002816205639</v>
      </c>
      <c r="F20" s="42">
        <v>0.1096294314987091</v>
      </c>
      <c r="G20" s="42">
        <v>0.11331198316754428</v>
      </c>
      <c r="H20" s="42">
        <v>0.11704624845992438</v>
      </c>
      <c r="I20" s="42">
        <v>0.12083078245448613</v>
      </c>
      <c r="J20" s="42">
        <v>0.12466413439263227</v>
      </c>
      <c r="K20" s="42">
        <v>0.12854485182446648</v>
      </c>
      <c r="L20" s="42">
        <v>0.1324714845149256</v>
      </c>
      <c r="M20" s="42">
        <v>0.13644258810269486</v>
      </c>
      <c r="N20" s="42">
        <v>0.1404567275071423</v>
      </c>
    </row>
    <row r="21" spans="1:14" ht="15">
      <c r="A21" s="41">
        <v>18</v>
      </c>
      <c r="B21" s="42">
        <v>0.09235654055287089</v>
      </c>
      <c r="C21" s="42">
        <v>0.09585461034066041</v>
      </c>
      <c r="D21" s="42">
        <v>0.09941260165836201</v>
      </c>
      <c r="E21" s="42">
        <v>0.10302895784150388</v>
      </c>
      <c r="F21" s="42">
        <v>0.10670209590483773</v>
      </c>
      <c r="G21" s="42">
        <v>0.11043041267461465</v>
      </c>
      <c r="H21" s="42">
        <v>0.11421229067033987</v>
      </c>
      <c r="I21" s="42">
        <v>0.11804610371060634</v>
      </c>
      <c r="J21" s="42">
        <v>0.12193022222225659</v>
      </c>
      <c r="K21" s="42">
        <v>0.125863018236628</v>
      </c>
      <c r="L21" s="42">
        <v>0.12984287006091888</v>
      </c>
      <c r="M21" s="42">
        <v>0.13386816661675233</v>
      </c>
      <c r="N21" s="42">
        <v>0.13793731144175672</v>
      </c>
    </row>
    <row r="22" spans="1:14" ht="15">
      <c r="A22" s="41">
        <v>19</v>
      </c>
      <c r="B22" s="42">
        <v>0.0896208603616676</v>
      </c>
      <c r="C22" s="42">
        <v>0.09315575172975626</v>
      </c>
      <c r="D22" s="42">
        <v>0.09675301484992607</v>
      </c>
      <c r="E22" s="42">
        <v>0.10041089936238229</v>
      </c>
      <c r="F22" s="42">
        <v>0.1041276274831721</v>
      </c>
      <c r="G22" s="42">
        <v>0.10790140146050414</v>
      </c>
      <c r="H22" s="42">
        <v>0.11173041068840939</v>
      </c>
      <c r="I22" s="42">
        <v>0.11561283844567788</v>
      </c>
      <c r="J22" s="42">
        <v>0.11954686823465582</v>
      </c>
      <c r="K22" s="42">
        <v>0.12353068970087008</v>
      </c>
      <c r="L22" s="42">
        <v>0.12756250412046147</v>
      </c>
      <c r="M22" s="42">
        <v>0.13164052944801455</v>
      </c>
      <c r="N22" s="42">
        <v>0.13576300492250343</v>
      </c>
    </row>
    <row r="23" spans="1:14" ht="15">
      <c r="A23" s="41">
        <v>20</v>
      </c>
      <c r="B23" s="42">
        <v>0.0871845569768514</v>
      </c>
      <c r="C23" s="42">
        <v>0.09075639535830458</v>
      </c>
      <c r="D23" s="42">
        <v>0.0943929257432557</v>
      </c>
      <c r="E23" s="42">
        <v>0.09809219163233142</v>
      </c>
      <c r="F23" s="42">
        <v>0.10185220882315059</v>
      </c>
      <c r="G23" s="42">
        <v>0.1056709743577489</v>
      </c>
      <c r="H23" s="42">
        <v>0.10954647500822921</v>
      </c>
      <c r="I23" s="42">
        <v>0.11347669526141041</v>
      </c>
      <c r="J23" s="42">
        <v>0.11745962477254576</v>
      </c>
      <c r="K23" s="42">
        <v>0.12149326526701618</v>
      </c>
      <c r="L23" s="42">
        <v>0.1255756368771422</v>
      </c>
      <c r="M23" s="42">
        <v>0.12970478390883663</v>
      </c>
      <c r="N23" s="42">
        <v>0.13387878003966064</v>
      </c>
    </row>
    <row r="24" spans="1:14" ht="15">
      <c r="A24" s="41">
        <v>21</v>
      </c>
      <c r="B24" s="42">
        <v>0.08500454665438208</v>
      </c>
      <c r="C24" s="42">
        <v>0.08861333425860302</v>
      </c>
      <c r="D24" s="42">
        <v>0.09228900166426905</v>
      </c>
      <c r="E24" s="42">
        <v>0.09602937422586032</v>
      </c>
      <c r="F24" s="42">
        <v>0.09983225032192854</v>
      </c>
      <c r="G24" s="42">
        <v>0.1036954119599242</v>
      </c>
      <c r="H24" s="42">
        <v>0.10761663476789851</v>
      </c>
      <c r="I24" s="42">
        <v>0.11159369732661772</v>
      </c>
      <c r="J24" s="42">
        <v>0.11562438980835625</v>
      </c>
      <c r="K24" s="42">
        <v>0.11970652190059232</v>
      </c>
      <c r="L24" s="42">
        <v>0.12383793000384771</v>
      </c>
      <c r="M24" s="42">
        <v>0.1280164837028992</v>
      </c>
      <c r="N24" s="42">
        <v>0.13224009151946137</v>
      </c>
    </row>
    <row r="25" spans="1:14" ht="15">
      <c r="A25" s="41">
        <v>22</v>
      </c>
      <c r="B25" s="42">
        <v>0.08304556854760078</v>
      </c>
      <c r="C25" s="42">
        <v>0.08669120431974572</v>
      </c>
      <c r="D25" s="42">
        <v>0.09040577322513398</v>
      </c>
      <c r="E25" s="42">
        <v>0.09418687100946874</v>
      </c>
      <c r="F25" s="42">
        <v>0.09803206835962802</v>
      </c>
      <c r="G25" s="42">
        <v>0.10193892332733828</v>
      </c>
      <c r="H25" s="42">
        <v>0.10590499295055286</v>
      </c>
      <c r="I25" s="42">
        <v>0.10992784401938006</v>
      </c>
      <c r="J25" s="42">
        <v>0.11400506295047944</v>
      </c>
      <c r="K25" s="42">
        <v>0.11813426474968587</v>
      </c>
      <c r="L25" s="42">
        <v>0.12231310105701836</v>
      </c>
      <c r="M25" s="42">
        <v>0.12653926728106885</v>
      </c>
      <c r="N25" s="42">
        <v>0.13081050884096077</v>
      </c>
    </row>
    <row r="26" spans="1:14" ht="15">
      <c r="A26" s="41">
        <v>23</v>
      </c>
      <c r="B26" s="42">
        <v>0.0812784846887889</v>
      </c>
      <c r="C26" s="42">
        <v>0.08496078024145244</v>
      </c>
      <c r="D26" s="42">
        <v>0.08871392625222356</v>
      </c>
      <c r="E26" s="42">
        <v>0.09253527803872058</v>
      </c>
      <c r="F26" s="42">
        <v>0.09642216915082133</v>
      </c>
      <c r="G26" s="42">
        <v>0.10037192576535067</v>
      </c>
      <c r="H26" s="42">
        <v>0.10438188004569757</v>
      </c>
      <c r="I26" s="42">
        <v>0.10844938240788869</v>
      </c>
      <c r="J26" s="42">
        <v>0.1125718126571046</v>
      </c>
      <c r="K26" s="42">
        <v>0.11674658997917947</v>
      </c>
      <c r="L26" s="42">
        <v>0.12097118179002064</v>
      </c>
      <c r="M26" s="42">
        <v>0.12524311146199027</v>
      </c>
      <c r="N26" s="42">
        <v>0.1295599649600366</v>
      </c>
    </row>
    <row r="27" spans="1:14" ht="15">
      <c r="A27" s="41">
        <v>24</v>
      </c>
      <c r="B27" s="42">
        <v>0.07967900498354336</v>
      </c>
      <c r="C27" s="42">
        <v>0.08339769750664192</v>
      </c>
      <c r="D27" s="42">
        <v>0.08718902073444046</v>
      </c>
      <c r="E27" s="42">
        <v>0.09105007947221556</v>
      </c>
      <c r="F27" s="42">
        <v>0.09497796160354938</v>
      </c>
      <c r="G27" s="42">
        <v>0.09896975459425586</v>
      </c>
      <c r="H27" s="42">
        <v>0.10302256067901301</v>
      </c>
      <c r="I27" s="42">
        <v>0.10713351066935735</v>
      </c>
      <c r="J27" s="42">
        <v>0.1112997763506878</v>
      </c>
      <c r="K27" s="42">
        <v>0.11551858146206516</v>
      </c>
      <c r="L27" s="42">
        <v>0.11978721127558457</v>
      </c>
      <c r="M27" s="42">
        <v>0.12410302081181529</v>
      </c>
      <c r="N27" s="42">
        <v>0.1284634417442148</v>
      </c>
    </row>
    <row r="28" spans="1:14" ht="15">
      <c r="A28" s="41">
        <v>25</v>
      </c>
      <c r="B28" s="42">
        <v>0.07822671821227395</v>
      </c>
      <c r="C28" s="42">
        <v>0.08198148108398498</v>
      </c>
      <c r="D28" s="42">
        <v>0.08581051722066563</v>
      </c>
      <c r="E28" s="42">
        <v>0.08971067164944402</v>
      </c>
      <c r="F28" s="42">
        <v>0.09367877905196811</v>
      </c>
      <c r="G28" s="42">
        <v>0.09771168249704337</v>
      </c>
      <c r="H28" s="42">
        <v>0.10180625051857181</v>
      </c>
      <c r="I28" s="42">
        <v>0.10595939247834853</v>
      </c>
      <c r="J28" s="42">
        <v>0.11016807219002082</v>
      </c>
      <c r="K28" s="42">
        <v>0.11442931981310331</v>
      </c>
      <c r="L28" s="42">
        <v>0.11874024205405564</v>
      </c>
      <c r="M28" s="42">
        <v>0.12309803073497765</v>
      </c>
      <c r="N28" s="42">
        <v>0.12749996980950776</v>
      </c>
    </row>
    <row r="29" spans="1:14" ht="15">
      <c r="A29" s="41">
        <v>30</v>
      </c>
      <c r="B29" s="42">
        <v>0.07264891149004721</v>
      </c>
      <c r="C29" s="42">
        <v>0.07657744224591062</v>
      </c>
      <c r="D29" s="42">
        <v>0.0805864035111112</v>
      </c>
      <c r="E29" s="42">
        <v>0.08467123576763981</v>
      </c>
      <c r="F29" s="42">
        <v>0.08882743338727227</v>
      </c>
      <c r="G29" s="42">
        <v>0.09305057531126766</v>
      </c>
      <c r="H29" s="42">
        <v>0.0973363513908898</v>
      </c>
      <c r="I29" s="42">
        <v>0.10168058445364078</v>
      </c>
      <c r="J29" s="42">
        <v>0.1060792482526339</v>
      </c>
      <c r="K29" s="42">
        <v>0.11052848152960514</v>
      </c>
      <c r="L29" s="42">
        <v>0.11502459847639437</v>
      </c>
      <c r="M29" s="42">
        <v>0.11956409591675328</v>
      </c>
      <c r="N29" s="42">
        <v>0.12414365755194319</v>
      </c>
    </row>
    <row r="30" spans="1:14" ht="15">
      <c r="A30" s="41">
        <v>35</v>
      </c>
      <c r="B30" s="42">
        <v>0.06897385897966324</v>
      </c>
      <c r="C30" s="42">
        <v>0.07306226062966832</v>
      </c>
      <c r="D30" s="42">
        <v>0.07723395964900326</v>
      </c>
      <c r="E30" s="42">
        <v>0.08148291469142825</v>
      </c>
      <c r="F30" s="42">
        <v>0.0858032645606798</v>
      </c>
      <c r="G30" s="42">
        <v>0.09018936847830197</v>
      </c>
      <c r="H30" s="42">
        <v>0.09463583747422191</v>
      </c>
      <c r="I30" s="42">
        <v>0.09913755751350581</v>
      </c>
      <c r="J30" s="42">
        <v>0.10368970511989745</v>
      </c>
      <c r="K30" s="42">
        <v>0.10828775634638044</v>
      </c>
      <c r="L30" s="42">
        <v>0.11292748998311637</v>
      </c>
      <c r="M30" s="42">
        <v>0.11760498589261816</v>
      </c>
      <c r="N30" s="42">
        <v>0.12231661932993036</v>
      </c>
    </row>
    <row r="31" spans="1:14" ht="15">
      <c r="A31" s="41">
        <v>40</v>
      </c>
      <c r="B31" s="42">
        <v>0.0664615359206755</v>
      </c>
      <c r="C31" s="42">
        <v>0.07069372596581987</v>
      </c>
      <c r="D31" s="42">
        <v>0.07500913887361033</v>
      </c>
      <c r="E31" s="42">
        <v>0.07940031380297342</v>
      </c>
      <c r="F31" s="42">
        <v>0.08386016150058534</v>
      </c>
      <c r="G31" s="42">
        <v>0.08838200562238359</v>
      </c>
      <c r="H31" s="42">
        <v>0.09295960922109704</v>
      </c>
      <c r="I31" s="42">
        <v>0.09758718829755257</v>
      </c>
      <c r="J31" s="42">
        <v>0.10225941441436949</v>
      </c>
      <c r="K31" s="42">
        <v>0.10697140835497033</v>
      </c>
      <c r="L31" s="42">
        <v>0.11171872670841716</v>
      </c>
      <c r="M31" s="42">
        <v>0.11649734309902919</v>
      </c>
      <c r="N31" s="42">
        <v>0.12130362558292027</v>
      </c>
    </row>
  </sheetData>
  <sheetProtection/>
  <mergeCells count="2">
    <mergeCell ref="A1:N1"/>
    <mergeCell ref="A2:N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68"/>
  <sheetViews>
    <sheetView zoomScalePageLayoutView="0" workbookViewId="0" topLeftCell="A32">
      <pane xSplit="1" topLeftCell="D1" activePane="topRight" state="frozen"/>
      <selection pane="topLeft" activeCell="A1" sqref="A1"/>
      <selection pane="topRight" activeCell="A57" sqref="A57:IV57"/>
    </sheetView>
  </sheetViews>
  <sheetFormatPr defaultColWidth="9.140625" defaultRowHeight="15"/>
  <cols>
    <col min="1" max="1" width="30.421875" style="0" customWidth="1"/>
    <col min="2" max="9" width="10.421875" style="0" customWidth="1"/>
    <col min="10" max="13" width="11.28125" style="0" customWidth="1"/>
    <col min="14" max="14" width="12.57421875" style="0" customWidth="1"/>
  </cols>
  <sheetData>
    <row r="1" spans="1:14" ht="24" customHeight="1">
      <c r="A1" s="432" t="s">
        <v>248</v>
      </c>
      <c r="B1" s="432"/>
      <c r="C1" s="432"/>
      <c r="D1" s="432"/>
      <c r="E1" s="432"/>
      <c r="F1" s="432"/>
      <c r="G1" s="432"/>
      <c r="H1" s="432"/>
      <c r="I1" s="432"/>
      <c r="J1" s="432"/>
      <c r="K1" s="432"/>
      <c r="L1" s="432"/>
      <c r="M1" s="432"/>
      <c r="N1" s="432"/>
    </row>
    <row r="2" spans="1:14" ht="14.25">
      <c r="A2" s="56"/>
      <c r="B2" s="57" t="s">
        <v>110</v>
      </c>
      <c r="C2" s="57" t="s">
        <v>111</v>
      </c>
      <c r="D2" s="57" t="s">
        <v>112</v>
      </c>
      <c r="E2" s="57" t="s">
        <v>113</v>
      </c>
      <c r="F2" s="57" t="s">
        <v>114</v>
      </c>
      <c r="G2" s="57" t="s">
        <v>115</v>
      </c>
      <c r="H2" s="57" t="s">
        <v>116</v>
      </c>
      <c r="I2" s="57" t="s">
        <v>117</v>
      </c>
      <c r="J2" s="57" t="s">
        <v>118</v>
      </c>
      <c r="K2" s="57" t="s">
        <v>119</v>
      </c>
      <c r="L2" s="57" t="s">
        <v>120</v>
      </c>
      <c r="M2" s="57" t="s">
        <v>121</v>
      </c>
      <c r="N2" s="57" t="s">
        <v>123</v>
      </c>
    </row>
    <row r="3" spans="1:14" ht="14.25" hidden="1">
      <c r="A3" s="63" t="s">
        <v>132</v>
      </c>
      <c r="B3" s="61" t="s">
        <v>133</v>
      </c>
      <c r="C3" s="61" t="s">
        <v>134</v>
      </c>
      <c r="D3" s="61" t="s">
        <v>135</v>
      </c>
      <c r="E3" s="61" t="s">
        <v>136</v>
      </c>
      <c r="F3" s="61" t="s">
        <v>137</v>
      </c>
      <c r="G3" s="61" t="s">
        <v>138</v>
      </c>
      <c r="H3" s="61" t="s">
        <v>139</v>
      </c>
      <c r="I3" s="61" t="s">
        <v>140</v>
      </c>
      <c r="J3" s="61" t="s">
        <v>141</v>
      </c>
      <c r="K3" s="61" t="s">
        <v>142</v>
      </c>
      <c r="L3" s="61" t="s">
        <v>143</v>
      </c>
      <c r="M3" s="61" t="s">
        <v>144</v>
      </c>
      <c r="N3" s="64" t="s">
        <v>145</v>
      </c>
    </row>
    <row r="4" spans="1:14" ht="14.25">
      <c r="A4" s="66" t="s">
        <v>122</v>
      </c>
      <c r="B4" s="67"/>
      <c r="C4" s="67"/>
      <c r="D4" s="67"/>
      <c r="E4" s="67"/>
      <c r="F4" s="67"/>
      <c r="G4" s="67"/>
      <c r="H4" s="67"/>
      <c r="I4" s="67"/>
      <c r="J4" s="67"/>
      <c r="K4" s="67"/>
      <c r="L4" s="67"/>
      <c r="M4" s="67"/>
      <c r="N4" s="68"/>
    </row>
    <row r="5" spans="1:14" ht="14.25">
      <c r="A5" s="65" t="s">
        <v>37</v>
      </c>
      <c r="B5" s="383">
        <f>$N5/12</f>
        <v>2256879.7916666665</v>
      </c>
      <c r="C5" s="378">
        <f aca="true" t="shared" si="0" ref="C5:M8">$N5/12</f>
        <v>2256879.7916666665</v>
      </c>
      <c r="D5" s="378">
        <f t="shared" si="0"/>
        <v>2256879.7916666665</v>
      </c>
      <c r="E5" s="378">
        <f t="shared" si="0"/>
        <v>2256879.7916666665</v>
      </c>
      <c r="F5" s="378">
        <f t="shared" si="0"/>
        <v>2256879.7916666665</v>
      </c>
      <c r="G5" s="378">
        <f t="shared" si="0"/>
        <v>2256879.7916666665</v>
      </c>
      <c r="H5" s="378">
        <f t="shared" si="0"/>
        <v>2256879.7916666665</v>
      </c>
      <c r="I5" s="378">
        <f t="shared" si="0"/>
        <v>2256879.7916666665</v>
      </c>
      <c r="J5" s="378">
        <f t="shared" si="0"/>
        <v>2256879.7916666665</v>
      </c>
      <c r="K5" s="378">
        <f t="shared" si="0"/>
        <v>2256879.7916666665</v>
      </c>
      <c r="L5" s="378">
        <f t="shared" si="0"/>
        <v>2256879.7916666665</v>
      </c>
      <c r="M5" s="378">
        <f t="shared" si="0"/>
        <v>2256879.7916666665</v>
      </c>
      <c r="N5" s="70">
        <f>'T4 Costs &amp; Returns'!K9</f>
        <v>27082557.5</v>
      </c>
    </row>
    <row r="6" spans="1:14" ht="14.25">
      <c r="A6" s="65" t="s">
        <v>43</v>
      </c>
      <c r="B6" s="383">
        <f>$N6/12</f>
        <v>36200</v>
      </c>
      <c r="C6" s="378">
        <f t="shared" si="0"/>
        <v>36200</v>
      </c>
      <c r="D6" s="378">
        <f t="shared" si="0"/>
        <v>36200</v>
      </c>
      <c r="E6" s="378">
        <f t="shared" si="0"/>
        <v>36200</v>
      </c>
      <c r="F6" s="378">
        <f t="shared" si="0"/>
        <v>36200</v>
      </c>
      <c r="G6" s="378">
        <f t="shared" si="0"/>
        <v>36200</v>
      </c>
      <c r="H6" s="378">
        <f t="shared" si="0"/>
        <v>36200</v>
      </c>
      <c r="I6" s="378">
        <f t="shared" si="0"/>
        <v>36200</v>
      </c>
      <c r="J6" s="378">
        <f t="shared" si="0"/>
        <v>36200</v>
      </c>
      <c r="K6" s="378">
        <f t="shared" si="0"/>
        <v>36200</v>
      </c>
      <c r="L6" s="378">
        <f t="shared" si="0"/>
        <v>36200</v>
      </c>
      <c r="M6" s="378">
        <f t="shared" si="0"/>
        <v>36200</v>
      </c>
      <c r="N6" s="70">
        <f>'T4 Costs &amp; Returns'!K10</f>
        <v>434400</v>
      </c>
    </row>
    <row r="7" spans="1:14" ht="14.25">
      <c r="A7" s="65" t="s">
        <v>44</v>
      </c>
      <c r="B7" s="383">
        <f>$N7/12</f>
        <v>46800</v>
      </c>
      <c r="C7" s="378">
        <f t="shared" si="0"/>
        <v>46800</v>
      </c>
      <c r="D7" s="378">
        <f t="shared" si="0"/>
        <v>46800</v>
      </c>
      <c r="E7" s="378">
        <f t="shared" si="0"/>
        <v>46800</v>
      </c>
      <c r="F7" s="378">
        <f t="shared" si="0"/>
        <v>46800</v>
      </c>
      <c r="G7" s="378">
        <f t="shared" si="0"/>
        <v>46800</v>
      </c>
      <c r="H7" s="378">
        <f t="shared" si="0"/>
        <v>46800</v>
      </c>
      <c r="I7" s="378">
        <f t="shared" si="0"/>
        <v>46800</v>
      </c>
      <c r="J7" s="378">
        <f t="shared" si="0"/>
        <v>46800</v>
      </c>
      <c r="K7" s="378">
        <f t="shared" si="0"/>
        <v>46800</v>
      </c>
      <c r="L7" s="378">
        <f t="shared" si="0"/>
        <v>46800</v>
      </c>
      <c r="M7" s="378">
        <f t="shared" si="0"/>
        <v>46800</v>
      </c>
      <c r="N7" s="70">
        <f>'T4 Costs &amp; Returns'!K11</f>
        <v>561600</v>
      </c>
    </row>
    <row r="8" spans="1:14" ht="14.25">
      <c r="A8" s="65" t="s">
        <v>45</v>
      </c>
      <c r="B8" s="383">
        <f>$N8/12</f>
        <v>168437.5</v>
      </c>
      <c r="C8" s="378">
        <f t="shared" si="0"/>
        <v>168437.5</v>
      </c>
      <c r="D8" s="378">
        <f t="shared" si="0"/>
        <v>168437.5</v>
      </c>
      <c r="E8" s="378">
        <f t="shared" si="0"/>
        <v>168437.5</v>
      </c>
      <c r="F8" s="378">
        <f t="shared" si="0"/>
        <v>168437.5</v>
      </c>
      <c r="G8" s="378">
        <f t="shared" si="0"/>
        <v>168437.5</v>
      </c>
      <c r="H8" s="378">
        <f t="shared" si="0"/>
        <v>168437.5</v>
      </c>
      <c r="I8" s="378">
        <f t="shared" si="0"/>
        <v>168437.5</v>
      </c>
      <c r="J8" s="378">
        <f t="shared" si="0"/>
        <v>168437.5</v>
      </c>
      <c r="K8" s="378">
        <f t="shared" si="0"/>
        <v>168437.5</v>
      </c>
      <c r="L8" s="378">
        <f t="shared" si="0"/>
        <v>168437.5</v>
      </c>
      <c r="M8" s="378">
        <f t="shared" si="0"/>
        <v>168437.5</v>
      </c>
      <c r="N8" s="70">
        <f>'T4 Costs &amp; Returns'!K12</f>
        <v>2021250</v>
      </c>
    </row>
    <row r="9" spans="1:14" ht="14.25">
      <c r="A9" s="71" t="s">
        <v>124</v>
      </c>
      <c r="B9" s="69">
        <f>SUM(B5:B8)</f>
        <v>2508317.2916666665</v>
      </c>
      <c r="C9" s="69">
        <f aca="true" t="shared" si="1" ref="C9:M9">SUM(C5:C8)</f>
        <v>2508317.2916666665</v>
      </c>
      <c r="D9" s="69">
        <f t="shared" si="1"/>
        <v>2508317.2916666665</v>
      </c>
      <c r="E9" s="69">
        <f t="shared" si="1"/>
        <v>2508317.2916666665</v>
      </c>
      <c r="F9" s="69">
        <f t="shared" si="1"/>
        <v>2508317.2916666665</v>
      </c>
      <c r="G9" s="69">
        <f t="shared" si="1"/>
        <v>2508317.2916666665</v>
      </c>
      <c r="H9" s="69">
        <f t="shared" si="1"/>
        <v>2508317.2916666665</v>
      </c>
      <c r="I9" s="69">
        <f t="shared" si="1"/>
        <v>2508317.2916666665</v>
      </c>
      <c r="J9" s="69">
        <f t="shared" si="1"/>
        <v>2508317.2916666665</v>
      </c>
      <c r="K9" s="69">
        <f t="shared" si="1"/>
        <v>2508317.2916666665</v>
      </c>
      <c r="L9" s="69">
        <f t="shared" si="1"/>
        <v>2508317.2916666665</v>
      </c>
      <c r="M9" s="69">
        <f t="shared" si="1"/>
        <v>2508317.2916666665</v>
      </c>
      <c r="N9" s="70">
        <f>'T4 Costs &amp; Returns'!K8</f>
        <v>30099807.5</v>
      </c>
    </row>
    <row r="10" spans="1:14" ht="14.25">
      <c r="A10" s="65"/>
      <c r="B10" s="67"/>
      <c r="C10" s="67"/>
      <c r="D10" s="67"/>
      <c r="E10" s="67"/>
      <c r="F10" s="67"/>
      <c r="G10" s="67"/>
      <c r="H10" s="67"/>
      <c r="I10" s="67"/>
      <c r="J10" s="67"/>
      <c r="K10" s="67"/>
      <c r="L10" s="67"/>
      <c r="M10" s="67"/>
      <c r="N10" s="68"/>
    </row>
    <row r="11" spans="1:14" ht="14.25">
      <c r="A11" s="384" t="s">
        <v>125</v>
      </c>
      <c r="B11" s="72"/>
      <c r="C11" s="72"/>
      <c r="D11" s="72"/>
      <c r="E11" s="72"/>
      <c r="F11" s="72"/>
      <c r="G11" s="72"/>
      <c r="H11" s="72"/>
      <c r="I11" s="72"/>
      <c r="J11" s="72"/>
      <c r="K11" s="72"/>
      <c r="L11" s="72"/>
      <c r="M11" s="72"/>
      <c r="N11" s="73"/>
    </row>
    <row r="12" spans="1:14" ht="14.25">
      <c r="A12" s="65" t="s">
        <v>210</v>
      </c>
      <c r="B12" s="383">
        <f aca="true" t="shared" si="2" ref="B12:B31">$N12/12</f>
        <v>209621.8429897567</v>
      </c>
      <c r="C12" s="378">
        <f aca="true" t="shared" si="3" ref="C12:M26">$N12/12</f>
        <v>209621.8429897567</v>
      </c>
      <c r="D12" s="378">
        <f t="shared" si="3"/>
        <v>209621.8429897567</v>
      </c>
      <c r="E12" s="378">
        <f t="shared" si="3"/>
        <v>209621.8429897567</v>
      </c>
      <c r="F12" s="378">
        <f t="shared" si="3"/>
        <v>209621.8429897567</v>
      </c>
      <c r="G12" s="378">
        <f t="shared" si="3"/>
        <v>209621.8429897567</v>
      </c>
      <c r="H12" s="378">
        <f t="shared" si="3"/>
        <v>209621.8429897567</v>
      </c>
      <c r="I12" s="378">
        <f t="shared" si="3"/>
        <v>209621.8429897567</v>
      </c>
      <c r="J12" s="378">
        <f t="shared" si="3"/>
        <v>209621.8429897567</v>
      </c>
      <c r="K12" s="378">
        <f t="shared" si="3"/>
        <v>209621.8429897567</v>
      </c>
      <c r="L12" s="378">
        <f t="shared" si="3"/>
        <v>209621.8429897567</v>
      </c>
      <c r="M12" s="378">
        <f t="shared" si="3"/>
        <v>209621.8429897567</v>
      </c>
      <c r="N12" s="70">
        <f>'T4 Costs &amp; Returns'!K17</f>
        <v>2515462.1158770802</v>
      </c>
    </row>
    <row r="13" spans="1:14" ht="14.25">
      <c r="A13" s="65" t="s">
        <v>211</v>
      </c>
      <c r="B13" s="383" t="e">
        <f t="shared" si="2"/>
        <v>#REF!</v>
      </c>
      <c r="C13" s="378" t="e">
        <f t="shared" si="3"/>
        <v>#REF!</v>
      </c>
      <c r="D13" s="378" t="e">
        <f t="shared" si="3"/>
        <v>#REF!</v>
      </c>
      <c r="E13" s="378" t="e">
        <f t="shared" si="3"/>
        <v>#REF!</v>
      </c>
      <c r="F13" s="378" t="e">
        <f t="shared" si="3"/>
        <v>#REF!</v>
      </c>
      <c r="G13" s="378" t="e">
        <f t="shared" si="3"/>
        <v>#REF!</v>
      </c>
      <c r="H13" s="378" t="e">
        <f t="shared" si="3"/>
        <v>#REF!</v>
      </c>
      <c r="I13" s="378" t="e">
        <f t="shared" si="3"/>
        <v>#REF!</v>
      </c>
      <c r="J13" s="378" t="e">
        <f t="shared" si="3"/>
        <v>#REF!</v>
      </c>
      <c r="K13" s="378" t="e">
        <f t="shared" si="3"/>
        <v>#REF!</v>
      </c>
      <c r="L13" s="378" t="e">
        <f t="shared" si="3"/>
        <v>#REF!</v>
      </c>
      <c r="M13" s="378" t="e">
        <f t="shared" si="3"/>
        <v>#REF!</v>
      </c>
      <c r="N13" s="70" t="e">
        <f>'T4 Costs &amp; Returns'!#REF!</f>
        <v>#REF!</v>
      </c>
    </row>
    <row r="14" spans="1:14" ht="14.25">
      <c r="A14" s="65" t="s">
        <v>51</v>
      </c>
      <c r="B14" s="383" t="e">
        <f t="shared" si="2"/>
        <v>#REF!</v>
      </c>
      <c r="C14" s="378" t="e">
        <f t="shared" si="3"/>
        <v>#REF!</v>
      </c>
      <c r="D14" s="378" t="e">
        <f t="shared" si="3"/>
        <v>#REF!</v>
      </c>
      <c r="E14" s="378" t="e">
        <f t="shared" si="3"/>
        <v>#REF!</v>
      </c>
      <c r="F14" s="378" t="e">
        <f t="shared" si="3"/>
        <v>#REF!</v>
      </c>
      <c r="G14" s="378" t="e">
        <f t="shared" si="3"/>
        <v>#REF!</v>
      </c>
      <c r="H14" s="378" t="e">
        <f t="shared" si="3"/>
        <v>#REF!</v>
      </c>
      <c r="I14" s="378" t="e">
        <f t="shared" si="3"/>
        <v>#REF!</v>
      </c>
      <c r="J14" s="378" t="e">
        <f t="shared" si="3"/>
        <v>#REF!</v>
      </c>
      <c r="K14" s="378" t="e">
        <f t="shared" si="3"/>
        <v>#REF!</v>
      </c>
      <c r="L14" s="378" t="e">
        <f t="shared" si="3"/>
        <v>#REF!</v>
      </c>
      <c r="M14" s="378" t="e">
        <f t="shared" si="3"/>
        <v>#REF!</v>
      </c>
      <c r="N14" s="70" t="e">
        <f>'T4 Costs &amp; Returns'!#REF!</f>
        <v>#REF!</v>
      </c>
    </row>
    <row r="15" spans="1:14" ht="14.25">
      <c r="A15" s="65" t="s">
        <v>220</v>
      </c>
      <c r="B15" s="383">
        <f t="shared" si="2"/>
        <v>10512.963380281688</v>
      </c>
      <c r="C15" s="378">
        <f t="shared" si="3"/>
        <v>10512.963380281688</v>
      </c>
      <c r="D15" s="378">
        <f t="shared" si="3"/>
        <v>10512.963380281688</v>
      </c>
      <c r="E15" s="378">
        <f t="shared" si="3"/>
        <v>10512.963380281688</v>
      </c>
      <c r="F15" s="378">
        <f t="shared" si="3"/>
        <v>10512.963380281688</v>
      </c>
      <c r="G15" s="378">
        <f t="shared" si="3"/>
        <v>10512.963380281688</v>
      </c>
      <c r="H15" s="378">
        <f t="shared" si="3"/>
        <v>10512.963380281688</v>
      </c>
      <c r="I15" s="378">
        <f t="shared" si="3"/>
        <v>10512.963380281688</v>
      </c>
      <c r="J15" s="378">
        <f t="shared" si="3"/>
        <v>10512.963380281688</v>
      </c>
      <c r="K15" s="378">
        <f t="shared" si="3"/>
        <v>10512.963380281688</v>
      </c>
      <c r="L15" s="378">
        <f t="shared" si="3"/>
        <v>10512.963380281688</v>
      </c>
      <c r="M15" s="378">
        <f t="shared" si="3"/>
        <v>10512.963380281688</v>
      </c>
      <c r="N15" s="70">
        <f>'T4 Costs &amp; Returns'!K20</f>
        <v>126155.56056338026</v>
      </c>
    </row>
    <row r="16" spans="1:14" ht="14.25">
      <c r="A16" s="65" t="s">
        <v>209</v>
      </c>
      <c r="B16" s="383">
        <f t="shared" si="2"/>
        <v>20748.833186619722</v>
      </c>
      <c r="C16" s="378">
        <f t="shared" si="3"/>
        <v>20748.833186619722</v>
      </c>
      <c r="D16" s="378">
        <f t="shared" si="3"/>
        <v>20748.833186619722</v>
      </c>
      <c r="E16" s="378">
        <f t="shared" si="3"/>
        <v>20748.833186619722</v>
      </c>
      <c r="F16" s="378">
        <f t="shared" si="3"/>
        <v>20748.833186619722</v>
      </c>
      <c r="G16" s="378">
        <f t="shared" si="3"/>
        <v>20748.833186619722</v>
      </c>
      <c r="H16" s="378">
        <f t="shared" si="3"/>
        <v>20748.833186619722</v>
      </c>
      <c r="I16" s="378">
        <f t="shared" si="3"/>
        <v>20748.833186619722</v>
      </c>
      <c r="J16" s="378">
        <f t="shared" si="3"/>
        <v>20748.833186619722</v>
      </c>
      <c r="K16" s="378">
        <f t="shared" si="3"/>
        <v>20748.833186619722</v>
      </c>
      <c r="L16" s="378">
        <f t="shared" si="3"/>
        <v>20748.833186619722</v>
      </c>
      <c r="M16" s="378">
        <f t="shared" si="3"/>
        <v>20748.833186619722</v>
      </c>
      <c r="N16" s="70">
        <f>'T4 Costs &amp; Returns'!K21</f>
        <v>248985.99823943665</v>
      </c>
    </row>
    <row r="17" spans="1:14" ht="14.25">
      <c r="A17" s="65" t="s">
        <v>212</v>
      </c>
      <c r="B17" s="383" t="e">
        <f t="shared" si="2"/>
        <v>#REF!</v>
      </c>
      <c r="C17" s="378" t="e">
        <f t="shared" si="3"/>
        <v>#REF!</v>
      </c>
      <c r="D17" s="378" t="e">
        <f t="shared" si="3"/>
        <v>#REF!</v>
      </c>
      <c r="E17" s="378" t="e">
        <f t="shared" si="3"/>
        <v>#REF!</v>
      </c>
      <c r="F17" s="378" t="e">
        <f t="shared" si="3"/>
        <v>#REF!</v>
      </c>
      <c r="G17" s="378" t="e">
        <f t="shared" si="3"/>
        <v>#REF!</v>
      </c>
      <c r="H17" s="378" t="e">
        <f t="shared" si="3"/>
        <v>#REF!</v>
      </c>
      <c r="I17" s="378" t="e">
        <f t="shared" si="3"/>
        <v>#REF!</v>
      </c>
      <c r="J17" s="378" t="e">
        <f t="shared" si="3"/>
        <v>#REF!</v>
      </c>
      <c r="K17" s="378" t="e">
        <f t="shared" si="3"/>
        <v>#REF!</v>
      </c>
      <c r="L17" s="378" t="e">
        <f t="shared" si="3"/>
        <v>#REF!</v>
      </c>
      <c r="M17" s="378" t="e">
        <f t="shared" si="3"/>
        <v>#REF!</v>
      </c>
      <c r="N17" s="70" t="e">
        <f>'T4 Costs &amp; Returns'!K22+'T4 Costs &amp; Returns'!#REF!</f>
        <v>#REF!</v>
      </c>
    </row>
    <row r="18" spans="1:14" ht="14.25">
      <c r="A18" s="65" t="s">
        <v>213</v>
      </c>
      <c r="B18" s="383">
        <f t="shared" si="2"/>
        <v>36586.30721830986</v>
      </c>
      <c r="C18" s="378">
        <f t="shared" si="3"/>
        <v>36586.30721830986</v>
      </c>
      <c r="D18" s="378">
        <f t="shared" si="3"/>
        <v>36586.30721830986</v>
      </c>
      <c r="E18" s="378">
        <f t="shared" si="3"/>
        <v>36586.30721830986</v>
      </c>
      <c r="F18" s="378">
        <f t="shared" si="3"/>
        <v>36586.30721830986</v>
      </c>
      <c r="G18" s="378">
        <f t="shared" si="3"/>
        <v>36586.30721830986</v>
      </c>
      <c r="H18" s="378">
        <f t="shared" si="3"/>
        <v>36586.30721830986</v>
      </c>
      <c r="I18" s="378">
        <f t="shared" si="3"/>
        <v>36586.30721830986</v>
      </c>
      <c r="J18" s="378">
        <f t="shared" si="3"/>
        <v>36586.30721830986</v>
      </c>
      <c r="K18" s="378">
        <f t="shared" si="3"/>
        <v>36586.30721830986</v>
      </c>
      <c r="L18" s="378">
        <f t="shared" si="3"/>
        <v>36586.30721830986</v>
      </c>
      <c r="M18" s="378">
        <f t="shared" si="3"/>
        <v>36586.30721830986</v>
      </c>
      <c r="N18" s="70">
        <f>'T4 Costs &amp; Returns'!K23</f>
        <v>439035.6866197183</v>
      </c>
    </row>
    <row r="19" spans="1:14" ht="14.25">
      <c r="A19" s="65" t="s">
        <v>216</v>
      </c>
      <c r="B19" s="383">
        <f t="shared" si="2"/>
        <v>13799.76112355954</v>
      </c>
      <c r="C19" s="378">
        <f t="shared" si="3"/>
        <v>13799.76112355954</v>
      </c>
      <c r="D19" s="378">
        <f t="shared" si="3"/>
        <v>13799.76112355954</v>
      </c>
      <c r="E19" s="378">
        <f t="shared" si="3"/>
        <v>13799.76112355954</v>
      </c>
      <c r="F19" s="378">
        <f t="shared" si="3"/>
        <v>13799.76112355954</v>
      </c>
      <c r="G19" s="378">
        <f t="shared" si="3"/>
        <v>13799.76112355954</v>
      </c>
      <c r="H19" s="378">
        <f t="shared" si="3"/>
        <v>13799.76112355954</v>
      </c>
      <c r="I19" s="378">
        <f t="shared" si="3"/>
        <v>13799.76112355954</v>
      </c>
      <c r="J19" s="378">
        <f t="shared" si="3"/>
        <v>13799.76112355954</v>
      </c>
      <c r="K19" s="378">
        <f t="shared" si="3"/>
        <v>13799.76112355954</v>
      </c>
      <c r="L19" s="378">
        <f t="shared" si="3"/>
        <v>13799.76112355954</v>
      </c>
      <c r="M19" s="378">
        <f t="shared" si="3"/>
        <v>13799.76112355954</v>
      </c>
      <c r="N19" s="70">
        <f>'T4 Costs &amp; Returns'!K24</f>
        <v>165597.13348271447</v>
      </c>
    </row>
    <row r="20" spans="1:14" ht="14.25">
      <c r="A20" s="65" t="s">
        <v>215</v>
      </c>
      <c r="B20" s="383">
        <f t="shared" si="2"/>
        <v>137553.72672588562</v>
      </c>
      <c r="C20" s="378">
        <f t="shared" si="3"/>
        <v>137553.72672588562</v>
      </c>
      <c r="D20" s="378">
        <f t="shared" si="3"/>
        <v>137553.72672588562</v>
      </c>
      <c r="E20" s="378">
        <f t="shared" si="3"/>
        <v>137553.72672588562</v>
      </c>
      <c r="F20" s="378">
        <f t="shared" si="3"/>
        <v>137553.72672588562</v>
      </c>
      <c r="G20" s="378">
        <f t="shared" si="3"/>
        <v>137553.72672588562</v>
      </c>
      <c r="H20" s="378">
        <f t="shared" si="3"/>
        <v>137553.72672588562</v>
      </c>
      <c r="I20" s="378">
        <f t="shared" si="3"/>
        <v>137553.72672588562</v>
      </c>
      <c r="J20" s="378">
        <f t="shared" si="3"/>
        <v>137553.72672588562</v>
      </c>
      <c r="K20" s="378">
        <f t="shared" si="3"/>
        <v>137553.72672588562</v>
      </c>
      <c r="L20" s="378">
        <f t="shared" si="3"/>
        <v>137553.72672588562</v>
      </c>
      <c r="M20" s="378">
        <f t="shared" si="3"/>
        <v>137553.72672588562</v>
      </c>
      <c r="N20" s="70">
        <f>'T4 Costs &amp; Returns'!K25</f>
        <v>1650644.7207106273</v>
      </c>
    </row>
    <row r="21" spans="1:14" ht="14.25">
      <c r="A21" s="65" t="s">
        <v>52</v>
      </c>
      <c r="B21" s="383">
        <f t="shared" si="2"/>
        <v>17145.510563380285</v>
      </c>
      <c r="C21" s="378">
        <f t="shared" si="3"/>
        <v>17145.510563380285</v>
      </c>
      <c r="D21" s="378">
        <f t="shared" si="3"/>
        <v>17145.510563380285</v>
      </c>
      <c r="E21" s="378">
        <f t="shared" si="3"/>
        <v>17145.510563380285</v>
      </c>
      <c r="F21" s="378">
        <f t="shared" si="3"/>
        <v>17145.510563380285</v>
      </c>
      <c r="G21" s="378">
        <f t="shared" si="3"/>
        <v>17145.510563380285</v>
      </c>
      <c r="H21" s="378">
        <f t="shared" si="3"/>
        <v>17145.510563380285</v>
      </c>
      <c r="I21" s="378">
        <f t="shared" si="3"/>
        <v>17145.510563380285</v>
      </c>
      <c r="J21" s="378">
        <f t="shared" si="3"/>
        <v>17145.510563380285</v>
      </c>
      <c r="K21" s="378">
        <f t="shared" si="3"/>
        <v>17145.510563380285</v>
      </c>
      <c r="L21" s="378">
        <f t="shared" si="3"/>
        <v>17145.510563380285</v>
      </c>
      <c r="M21" s="378">
        <f t="shared" si="3"/>
        <v>17145.510563380285</v>
      </c>
      <c r="N21" s="70">
        <f>'T4 Costs &amp; Returns'!K26</f>
        <v>205746.1267605634</v>
      </c>
    </row>
    <row r="22" spans="1:14" ht="14.25">
      <c r="A22" s="65" t="s">
        <v>214</v>
      </c>
      <c r="B22" s="383">
        <f t="shared" si="2"/>
        <v>32320.670114436623</v>
      </c>
      <c r="C22" s="378">
        <f t="shared" si="3"/>
        <v>32320.670114436623</v>
      </c>
      <c r="D22" s="378">
        <f t="shared" si="3"/>
        <v>32320.670114436623</v>
      </c>
      <c r="E22" s="378">
        <f t="shared" si="3"/>
        <v>32320.670114436623</v>
      </c>
      <c r="F22" s="378">
        <f t="shared" si="3"/>
        <v>32320.670114436623</v>
      </c>
      <c r="G22" s="378">
        <f t="shared" si="3"/>
        <v>32320.670114436623</v>
      </c>
      <c r="H22" s="378">
        <f t="shared" si="3"/>
        <v>32320.670114436623</v>
      </c>
      <c r="I22" s="378">
        <f t="shared" si="3"/>
        <v>32320.670114436623</v>
      </c>
      <c r="J22" s="378">
        <f t="shared" si="3"/>
        <v>32320.670114436623</v>
      </c>
      <c r="K22" s="378">
        <f t="shared" si="3"/>
        <v>32320.670114436623</v>
      </c>
      <c r="L22" s="378">
        <f t="shared" si="3"/>
        <v>32320.670114436623</v>
      </c>
      <c r="M22" s="378">
        <f t="shared" si="3"/>
        <v>32320.670114436623</v>
      </c>
      <c r="N22" s="70">
        <f>'T4 Costs &amp; Returns'!K27</f>
        <v>387848.0413732395</v>
      </c>
    </row>
    <row r="23" spans="1:14" ht="14.25">
      <c r="A23" s="65" t="s">
        <v>217</v>
      </c>
      <c r="B23" s="383">
        <f t="shared" si="2"/>
        <v>32952.88732394367</v>
      </c>
      <c r="C23" s="378">
        <f t="shared" si="3"/>
        <v>32952.88732394367</v>
      </c>
      <c r="D23" s="378">
        <f t="shared" si="3"/>
        <v>32952.88732394367</v>
      </c>
      <c r="E23" s="378">
        <f t="shared" si="3"/>
        <v>32952.88732394367</v>
      </c>
      <c r="F23" s="378">
        <f t="shared" si="3"/>
        <v>32952.88732394367</v>
      </c>
      <c r="G23" s="378">
        <f t="shared" si="3"/>
        <v>32952.88732394367</v>
      </c>
      <c r="H23" s="378">
        <f t="shared" si="3"/>
        <v>32952.88732394367</v>
      </c>
      <c r="I23" s="378">
        <f t="shared" si="3"/>
        <v>32952.88732394367</v>
      </c>
      <c r="J23" s="378">
        <f t="shared" si="3"/>
        <v>32952.88732394367</v>
      </c>
      <c r="K23" s="378">
        <f t="shared" si="3"/>
        <v>32952.88732394367</v>
      </c>
      <c r="L23" s="378">
        <f t="shared" si="3"/>
        <v>32952.88732394367</v>
      </c>
      <c r="M23" s="378">
        <f t="shared" si="3"/>
        <v>32952.88732394367</v>
      </c>
      <c r="N23" s="70">
        <f>'T4 Costs &amp; Returns'!K28</f>
        <v>395434.64788732404</v>
      </c>
    </row>
    <row r="24" spans="1:14" ht="14.25">
      <c r="A24" s="65" t="s">
        <v>53</v>
      </c>
      <c r="B24" s="383">
        <f t="shared" si="2"/>
        <v>26211.98703585147</v>
      </c>
      <c r="C24" s="378">
        <f t="shared" si="3"/>
        <v>26211.98703585147</v>
      </c>
      <c r="D24" s="378">
        <f t="shared" si="3"/>
        <v>26211.98703585147</v>
      </c>
      <c r="E24" s="378">
        <f t="shared" si="3"/>
        <v>26211.98703585147</v>
      </c>
      <c r="F24" s="378">
        <f t="shared" si="3"/>
        <v>26211.98703585147</v>
      </c>
      <c r="G24" s="378">
        <f t="shared" si="3"/>
        <v>26211.98703585147</v>
      </c>
      <c r="H24" s="378">
        <f t="shared" si="3"/>
        <v>26211.98703585147</v>
      </c>
      <c r="I24" s="378">
        <f t="shared" si="3"/>
        <v>26211.98703585147</v>
      </c>
      <c r="J24" s="378">
        <f t="shared" si="3"/>
        <v>26211.98703585147</v>
      </c>
      <c r="K24" s="378">
        <f t="shared" si="3"/>
        <v>26211.98703585147</v>
      </c>
      <c r="L24" s="378">
        <f t="shared" si="3"/>
        <v>26211.98703585147</v>
      </c>
      <c r="M24" s="378">
        <f t="shared" si="3"/>
        <v>26211.98703585147</v>
      </c>
      <c r="N24" s="70">
        <f>'T4 Costs &amp; Returns'!K29</f>
        <v>314543.84443021764</v>
      </c>
    </row>
    <row r="25" spans="1:14" ht="14.25">
      <c r="A25" s="65" t="s">
        <v>54</v>
      </c>
      <c r="B25" s="383">
        <f t="shared" si="2"/>
        <v>99018.87483994882</v>
      </c>
      <c r="C25" s="378">
        <f t="shared" si="3"/>
        <v>99018.87483994882</v>
      </c>
      <c r="D25" s="378">
        <f t="shared" si="3"/>
        <v>99018.87483994882</v>
      </c>
      <c r="E25" s="378">
        <f t="shared" si="3"/>
        <v>99018.87483994882</v>
      </c>
      <c r="F25" s="378">
        <f t="shared" si="3"/>
        <v>99018.87483994882</v>
      </c>
      <c r="G25" s="378">
        <f t="shared" si="3"/>
        <v>99018.87483994882</v>
      </c>
      <c r="H25" s="378">
        <f t="shared" si="3"/>
        <v>99018.87483994882</v>
      </c>
      <c r="I25" s="378">
        <f t="shared" si="3"/>
        <v>99018.87483994882</v>
      </c>
      <c r="J25" s="378">
        <f t="shared" si="3"/>
        <v>99018.87483994882</v>
      </c>
      <c r="K25" s="378">
        <f t="shared" si="3"/>
        <v>99018.87483994882</v>
      </c>
      <c r="L25" s="378">
        <f t="shared" si="3"/>
        <v>99018.87483994882</v>
      </c>
      <c r="M25" s="378">
        <f t="shared" si="3"/>
        <v>99018.87483994882</v>
      </c>
      <c r="N25" s="70">
        <f>'T4 Costs &amp; Returns'!K30</f>
        <v>1188226.4980793858</v>
      </c>
    </row>
    <row r="26" spans="1:14" s="46" customFormat="1" ht="14.25">
      <c r="A26" s="65" t="s">
        <v>55</v>
      </c>
      <c r="B26" s="383">
        <f t="shared" si="2"/>
        <v>30977.248847631246</v>
      </c>
      <c r="C26" s="378">
        <f t="shared" si="3"/>
        <v>30977.248847631246</v>
      </c>
      <c r="D26" s="378">
        <f t="shared" si="3"/>
        <v>30977.248847631246</v>
      </c>
      <c r="E26" s="378">
        <f t="shared" si="3"/>
        <v>30977.248847631246</v>
      </c>
      <c r="F26" s="378">
        <f t="shared" si="3"/>
        <v>30977.248847631246</v>
      </c>
      <c r="G26" s="378">
        <f t="shared" si="3"/>
        <v>30977.248847631246</v>
      </c>
      <c r="H26" s="378">
        <f t="shared" si="3"/>
        <v>30977.248847631246</v>
      </c>
      <c r="I26" s="378">
        <f t="shared" si="3"/>
        <v>30977.248847631246</v>
      </c>
      <c r="J26" s="378">
        <f t="shared" si="3"/>
        <v>30977.248847631246</v>
      </c>
      <c r="K26" s="378">
        <f t="shared" si="3"/>
        <v>30977.248847631246</v>
      </c>
      <c r="L26" s="378">
        <f t="shared" si="3"/>
        <v>30977.248847631246</v>
      </c>
      <c r="M26" s="378">
        <f t="shared" si="3"/>
        <v>30977.248847631246</v>
      </c>
      <c r="N26" s="70">
        <f>'T4 Costs &amp; Returns'!K31</f>
        <v>371726.986171575</v>
      </c>
    </row>
    <row r="27" spans="1:14" s="352" customFormat="1" ht="14.25">
      <c r="A27" s="65" t="s">
        <v>218</v>
      </c>
      <c r="B27" s="383">
        <f t="shared" si="2"/>
        <v>111.66666666666667</v>
      </c>
      <c r="C27" s="378">
        <f aca="true" t="shared" si="4" ref="C27:M31">$N27/12</f>
        <v>111.66666666666667</v>
      </c>
      <c r="D27" s="378">
        <f t="shared" si="4"/>
        <v>111.66666666666667</v>
      </c>
      <c r="E27" s="378">
        <f t="shared" si="4"/>
        <v>111.66666666666667</v>
      </c>
      <c r="F27" s="378">
        <f t="shared" si="4"/>
        <v>111.66666666666667</v>
      </c>
      <c r="G27" s="378">
        <f t="shared" si="4"/>
        <v>111.66666666666667</v>
      </c>
      <c r="H27" s="378">
        <f t="shared" si="4"/>
        <v>111.66666666666667</v>
      </c>
      <c r="I27" s="378">
        <f t="shared" si="4"/>
        <v>111.66666666666667</v>
      </c>
      <c r="J27" s="378">
        <f t="shared" si="4"/>
        <v>111.66666666666667</v>
      </c>
      <c r="K27" s="378">
        <f t="shared" si="4"/>
        <v>111.66666666666667</v>
      </c>
      <c r="L27" s="378">
        <f t="shared" si="4"/>
        <v>111.66666666666667</v>
      </c>
      <c r="M27" s="378">
        <f t="shared" si="4"/>
        <v>111.66666666666667</v>
      </c>
      <c r="N27" s="70">
        <f>'T4 Costs &amp; Returns'!I32</f>
        <v>1340</v>
      </c>
    </row>
    <row r="28" spans="1:14" s="352" customFormat="1" ht="14.25">
      <c r="A28" s="65" t="s">
        <v>219</v>
      </c>
      <c r="B28" s="383" t="e">
        <f t="shared" si="2"/>
        <v>#REF!</v>
      </c>
      <c r="C28" s="378" t="e">
        <f t="shared" si="4"/>
        <v>#REF!</v>
      </c>
      <c r="D28" s="378" t="e">
        <f t="shared" si="4"/>
        <v>#REF!</v>
      </c>
      <c r="E28" s="378" t="e">
        <f t="shared" si="4"/>
        <v>#REF!</v>
      </c>
      <c r="F28" s="378" t="e">
        <f t="shared" si="4"/>
        <v>#REF!</v>
      </c>
      <c r="G28" s="378" t="e">
        <f t="shared" si="4"/>
        <v>#REF!</v>
      </c>
      <c r="H28" s="378" t="e">
        <f t="shared" si="4"/>
        <v>#REF!</v>
      </c>
      <c r="I28" s="378" t="e">
        <f t="shared" si="4"/>
        <v>#REF!</v>
      </c>
      <c r="J28" s="378" t="e">
        <f t="shared" si="4"/>
        <v>#REF!</v>
      </c>
      <c r="K28" s="378" t="e">
        <f t="shared" si="4"/>
        <v>#REF!</v>
      </c>
      <c r="L28" s="378" t="e">
        <f t="shared" si="4"/>
        <v>#REF!</v>
      </c>
      <c r="M28" s="378" t="e">
        <f t="shared" si="4"/>
        <v>#REF!</v>
      </c>
      <c r="N28" s="70" t="e">
        <f>'T4 Costs &amp; Returns'!#REF!</f>
        <v>#REF!</v>
      </c>
    </row>
    <row r="29" spans="1:14" s="352" customFormat="1" ht="14.25">
      <c r="A29" s="65" t="s">
        <v>204</v>
      </c>
      <c r="B29" s="383">
        <f t="shared" si="2"/>
        <v>27778.492517605642</v>
      </c>
      <c r="C29" s="378">
        <f t="shared" si="4"/>
        <v>27778.492517605642</v>
      </c>
      <c r="D29" s="378">
        <f t="shared" si="4"/>
        <v>27778.492517605642</v>
      </c>
      <c r="E29" s="378">
        <f t="shared" si="4"/>
        <v>27778.492517605642</v>
      </c>
      <c r="F29" s="378">
        <f t="shared" si="4"/>
        <v>27778.492517605642</v>
      </c>
      <c r="G29" s="378">
        <f t="shared" si="4"/>
        <v>27778.492517605642</v>
      </c>
      <c r="H29" s="378">
        <f t="shared" si="4"/>
        <v>27778.492517605642</v>
      </c>
      <c r="I29" s="378">
        <f t="shared" si="4"/>
        <v>27778.492517605642</v>
      </c>
      <c r="J29" s="378">
        <f t="shared" si="4"/>
        <v>27778.492517605642</v>
      </c>
      <c r="K29" s="378">
        <f t="shared" si="4"/>
        <v>27778.492517605642</v>
      </c>
      <c r="L29" s="378">
        <f t="shared" si="4"/>
        <v>27778.492517605642</v>
      </c>
      <c r="M29" s="378">
        <f t="shared" si="4"/>
        <v>27778.492517605642</v>
      </c>
      <c r="N29" s="70">
        <f>'T4 Costs &amp; Returns'!K34</f>
        <v>333341.9102112677</v>
      </c>
    </row>
    <row r="30" spans="1:14" s="352" customFormat="1" ht="14.25">
      <c r="A30" s="65" t="s">
        <v>205</v>
      </c>
      <c r="B30" s="383" t="e">
        <f t="shared" si="2"/>
        <v>#REF!</v>
      </c>
      <c r="C30" s="378" t="e">
        <f t="shared" si="4"/>
        <v>#REF!</v>
      </c>
      <c r="D30" s="378" t="e">
        <f t="shared" si="4"/>
        <v>#REF!</v>
      </c>
      <c r="E30" s="378" t="e">
        <f t="shared" si="4"/>
        <v>#REF!</v>
      </c>
      <c r="F30" s="378" t="e">
        <f t="shared" si="4"/>
        <v>#REF!</v>
      </c>
      <c r="G30" s="378" t="e">
        <f t="shared" si="4"/>
        <v>#REF!</v>
      </c>
      <c r="H30" s="378" t="e">
        <f t="shared" si="4"/>
        <v>#REF!</v>
      </c>
      <c r="I30" s="378" t="e">
        <f t="shared" si="4"/>
        <v>#REF!</v>
      </c>
      <c r="J30" s="378" t="e">
        <f t="shared" si="4"/>
        <v>#REF!</v>
      </c>
      <c r="K30" s="378" t="e">
        <f t="shared" si="4"/>
        <v>#REF!</v>
      </c>
      <c r="L30" s="378" t="e">
        <f t="shared" si="4"/>
        <v>#REF!</v>
      </c>
      <c r="M30" s="378" t="e">
        <f t="shared" si="4"/>
        <v>#REF!</v>
      </c>
      <c r="N30" s="70" t="e">
        <f>'T4 Costs &amp; Returns'!#REF!</f>
        <v>#REF!</v>
      </c>
    </row>
    <row r="31" spans="1:14" s="352" customFormat="1" ht="14.25">
      <c r="A31" s="65" t="s">
        <v>62</v>
      </c>
      <c r="B31" s="383">
        <f t="shared" si="2"/>
        <v>156250</v>
      </c>
      <c r="C31" s="378">
        <f t="shared" si="4"/>
        <v>156250</v>
      </c>
      <c r="D31" s="378">
        <f t="shared" si="4"/>
        <v>156250</v>
      </c>
      <c r="E31" s="378">
        <f t="shared" si="4"/>
        <v>156250</v>
      </c>
      <c r="F31" s="378">
        <f t="shared" si="4"/>
        <v>156250</v>
      </c>
      <c r="G31" s="378">
        <f t="shared" si="4"/>
        <v>156250</v>
      </c>
      <c r="H31" s="378">
        <f t="shared" si="4"/>
        <v>156250</v>
      </c>
      <c r="I31" s="378">
        <f t="shared" si="4"/>
        <v>156250</v>
      </c>
      <c r="J31" s="378">
        <f t="shared" si="4"/>
        <v>156250</v>
      </c>
      <c r="K31" s="378">
        <f t="shared" si="4"/>
        <v>156250</v>
      </c>
      <c r="L31" s="378">
        <f t="shared" si="4"/>
        <v>156250</v>
      </c>
      <c r="M31" s="378">
        <f t="shared" si="4"/>
        <v>156250</v>
      </c>
      <c r="N31" s="70">
        <f>'T4 Costs &amp; Returns'!K42</f>
        <v>1875000</v>
      </c>
    </row>
    <row r="32" spans="1:14" s="352" customFormat="1" ht="14.25">
      <c r="A32" s="65" t="s">
        <v>61</v>
      </c>
      <c r="B32" s="383">
        <f aca="true" t="shared" si="5" ref="B32:M39">$N32/12</f>
        <v>55000</v>
      </c>
      <c r="C32" s="378">
        <f t="shared" si="5"/>
        <v>55000</v>
      </c>
      <c r="D32" s="378">
        <f t="shared" si="5"/>
        <v>55000</v>
      </c>
      <c r="E32" s="378">
        <f t="shared" si="5"/>
        <v>55000</v>
      </c>
      <c r="F32" s="378">
        <f t="shared" si="5"/>
        <v>55000</v>
      </c>
      <c r="G32" s="378">
        <f t="shared" si="5"/>
        <v>55000</v>
      </c>
      <c r="H32" s="378">
        <f t="shared" si="5"/>
        <v>55000</v>
      </c>
      <c r="I32" s="378">
        <f t="shared" si="5"/>
        <v>55000</v>
      </c>
      <c r="J32" s="378">
        <f t="shared" si="5"/>
        <v>55000</v>
      </c>
      <c r="K32" s="378">
        <f t="shared" si="5"/>
        <v>55000</v>
      </c>
      <c r="L32" s="378">
        <f t="shared" si="5"/>
        <v>55000</v>
      </c>
      <c r="M32" s="378">
        <f t="shared" si="5"/>
        <v>55000</v>
      </c>
      <c r="N32" s="70">
        <f>'T4 Costs &amp; Returns'!K43</f>
        <v>660000</v>
      </c>
    </row>
    <row r="33" spans="1:14" s="352" customFormat="1" ht="14.25">
      <c r="A33" s="65" t="s">
        <v>63</v>
      </c>
      <c r="B33" s="383">
        <f t="shared" si="5"/>
        <v>90416.66666666667</v>
      </c>
      <c r="C33" s="378">
        <f t="shared" si="5"/>
        <v>90416.66666666667</v>
      </c>
      <c r="D33" s="378">
        <f t="shared" si="5"/>
        <v>90416.66666666667</v>
      </c>
      <c r="E33" s="378">
        <f t="shared" si="5"/>
        <v>90416.66666666667</v>
      </c>
      <c r="F33" s="378">
        <f t="shared" si="5"/>
        <v>90416.66666666667</v>
      </c>
      <c r="G33" s="378">
        <f t="shared" si="5"/>
        <v>90416.66666666667</v>
      </c>
      <c r="H33" s="378">
        <f t="shared" si="5"/>
        <v>90416.66666666667</v>
      </c>
      <c r="I33" s="378">
        <f t="shared" si="5"/>
        <v>90416.66666666667</v>
      </c>
      <c r="J33" s="378">
        <f t="shared" si="5"/>
        <v>90416.66666666667</v>
      </c>
      <c r="K33" s="378">
        <f t="shared" si="5"/>
        <v>90416.66666666667</v>
      </c>
      <c r="L33" s="378">
        <f t="shared" si="5"/>
        <v>90416.66666666667</v>
      </c>
      <c r="M33" s="378">
        <f t="shared" si="5"/>
        <v>90416.66666666667</v>
      </c>
      <c r="N33" s="70">
        <f>'T4 Costs &amp; Returns'!K44</f>
        <v>1085000</v>
      </c>
    </row>
    <row r="34" spans="1:14" s="352" customFormat="1" ht="14.25">
      <c r="A34" s="65" t="s">
        <v>64</v>
      </c>
      <c r="B34" s="383">
        <f t="shared" si="5"/>
        <v>56666.666666666664</v>
      </c>
      <c r="C34" s="378">
        <f t="shared" si="5"/>
        <v>56666.666666666664</v>
      </c>
      <c r="D34" s="378">
        <f t="shared" si="5"/>
        <v>56666.666666666664</v>
      </c>
      <c r="E34" s="378">
        <f t="shared" si="5"/>
        <v>56666.666666666664</v>
      </c>
      <c r="F34" s="378">
        <f t="shared" si="5"/>
        <v>56666.666666666664</v>
      </c>
      <c r="G34" s="378">
        <f t="shared" si="5"/>
        <v>56666.666666666664</v>
      </c>
      <c r="H34" s="378">
        <f t="shared" si="5"/>
        <v>56666.666666666664</v>
      </c>
      <c r="I34" s="378">
        <f t="shared" si="5"/>
        <v>56666.666666666664</v>
      </c>
      <c r="J34" s="378">
        <f t="shared" si="5"/>
        <v>56666.666666666664</v>
      </c>
      <c r="K34" s="378">
        <f t="shared" si="5"/>
        <v>56666.666666666664</v>
      </c>
      <c r="L34" s="378">
        <f t="shared" si="5"/>
        <v>56666.666666666664</v>
      </c>
      <c r="M34" s="378">
        <f t="shared" si="5"/>
        <v>56666.666666666664</v>
      </c>
      <c r="N34" s="70">
        <f>'T4 Costs &amp; Returns'!K46</f>
        <v>680000</v>
      </c>
    </row>
    <row r="35" spans="1:14" s="352" customFormat="1" ht="14.25">
      <c r="A35" s="65" t="s">
        <v>65</v>
      </c>
      <c r="B35" s="383">
        <f t="shared" si="5"/>
        <v>83333.33333333333</v>
      </c>
      <c r="C35" s="378">
        <f t="shared" si="5"/>
        <v>83333.33333333333</v>
      </c>
      <c r="D35" s="378">
        <f t="shared" si="5"/>
        <v>83333.33333333333</v>
      </c>
      <c r="E35" s="378">
        <f t="shared" si="5"/>
        <v>83333.33333333333</v>
      </c>
      <c r="F35" s="378">
        <f t="shared" si="5"/>
        <v>83333.33333333333</v>
      </c>
      <c r="G35" s="378">
        <f t="shared" si="5"/>
        <v>83333.33333333333</v>
      </c>
      <c r="H35" s="378">
        <f t="shared" si="5"/>
        <v>83333.33333333333</v>
      </c>
      <c r="I35" s="378">
        <f t="shared" si="5"/>
        <v>83333.33333333333</v>
      </c>
      <c r="J35" s="378">
        <f t="shared" si="5"/>
        <v>83333.33333333333</v>
      </c>
      <c r="K35" s="378">
        <f t="shared" si="5"/>
        <v>83333.33333333333</v>
      </c>
      <c r="L35" s="378">
        <f t="shared" si="5"/>
        <v>83333.33333333333</v>
      </c>
      <c r="M35" s="378">
        <f t="shared" si="5"/>
        <v>83333.33333333333</v>
      </c>
      <c r="N35" s="70">
        <f>'T4 Costs &amp; Returns'!K47</f>
        <v>1000000</v>
      </c>
    </row>
    <row r="36" spans="1:14" s="352" customFormat="1" ht="14.25">
      <c r="A36" s="65" t="s">
        <v>59</v>
      </c>
      <c r="B36" s="383">
        <f t="shared" si="5"/>
        <v>20833.333333333332</v>
      </c>
      <c r="C36" s="378">
        <f t="shared" si="5"/>
        <v>20833.333333333332</v>
      </c>
      <c r="D36" s="378">
        <f t="shared" si="5"/>
        <v>20833.333333333332</v>
      </c>
      <c r="E36" s="378">
        <f t="shared" si="5"/>
        <v>20833.333333333332</v>
      </c>
      <c r="F36" s="378">
        <f t="shared" si="5"/>
        <v>20833.333333333332</v>
      </c>
      <c r="G36" s="378">
        <f t="shared" si="5"/>
        <v>20833.333333333332</v>
      </c>
      <c r="H36" s="378">
        <f t="shared" si="5"/>
        <v>20833.333333333332</v>
      </c>
      <c r="I36" s="378">
        <f t="shared" si="5"/>
        <v>20833.333333333332</v>
      </c>
      <c r="J36" s="378">
        <f t="shared" si="5"/>
        <v>20833.333333333332</v>
      </c>
      <c r="K36" s="378">
        <f t="shared" si="5"/>
        <v>20833.333333333332</v>
      </c>
      <c r="L36" s="378">
        <f t="shared" si="5"/>
        <v>20833.333333333332</v>
      </c>
      <c r="M36" s="378">
        <f t="shared" si="5"/>
        <v>20833.333333333332</v>
      </c>
      <c r="N36" s="70">
        <f>'T4 Costs &amp; Returns'!K48</f>
        <v>250000</v>
      </c>
    </row>
    <row r="37" spans="1:14" s="352" customFormat="1" ht="14.25">
      <c r="A37" s="65" t="s">
        <v>60</v>
      </c>
      <c r="B37" s="383">
        <f t="shared" si="5"/>
        <v>35416.666666666664</v>
      </c>
      <c r="C37" s="378">
        <f t="shared" si="5"/>
        <v>35416.666666666664</v>
      </c>
      <c r="D37" s="378">
        <f t="shared" si="5"/>
        <v>35416.666666666664</v>
      </c>
      <c r="E37" s="378">
        <f t="shared" si="5"/>
        <v>35416.666666666664</v>
      </c>
      <c r="F37" s="378">
        <f t="shared" si="5"/>
        <v>35416.666666666664</v>
      </c>
      <c r="G37" s="378">
        <f t="shared" si="5"/>
        <v>35416.666666666664</v>
      </c>
      <c r="H37" s="378">
        <f t="shared" si="5"/>
        <v>35416.666666666664</v>
      </c>
      <c r="I37" s="378">
        <f t="shared" si="5"/>
        <v>35416.666666666664</v>
      </c>
      <c r="J37" s="378">
        <f t="shared" si="5"/>
        <v>35416.666666666664</v>
      </c>
      <c r="K37" s="378">
        <f t="shared" si="5"/>
        <v>35416.666666666664</v>
      </c>
      <c r="L37" s="378">
        <f t="shared" si="5"/>
        <v>35416.666666666664</v>
      </c>
      <c r="M37" s="378">
        <f t="shared" si="5"/>
        <v>35416.666666666664</v>
      </c>
      <c r="N37" s="70">
        <f>'T4 Costs &amp; Returns'!K49</f>
        <v>425000</v>
      </c>
    </row>
    <row r="38" spans="1:14" s="352" customFormat="1" ht="14.25">
      <c r="A38" s="65" t="s">
        <v>203</v>
      </c>
      <c r="B38" s="383">
        <f t="shared" si="5"/>
        <v>12500</v>
      </c>
      <c r="C38" s="378">
        <f t="shared" si="5"/>
        <v>12500</v>
      </c>
      <c r="D38" s="378">
        <f t="shared" si="5"/>
        <v>12500</v>
      </c>
      <c r="E38" s="378">
        <f t="shared" si="5"/>
        <v>12500</v>
      </c>
      <c r="F38" s="378">
        <f t="shared" si="5"/>
        <v>12500</v>
      </c>
      <c r="G38" s="378">
        <f t="shared" si="5"/>
        <v>12500</v>
      </c>
      <c r="H38" s="378">
        <f t="shared" si="5"/>
        <v>12500</v>
      </c>
      <c r="I38" s="378">
        <f t="shared" si="5"/>
        <v>12500</v>
      </c>
      <c r="J38" s="378">
        <f t="shared" si="5"/>
        <v>12500</v>
      </c>
      <c r="K38" s="378">
        <f t="shared" si="5"/>
        <v>12500</v>
      </c>
      <c r="L38" s="378">
        <f t="shared" si="5"/>
        <v>12500</v>
      </c>
      <c r="M38" s="378">
        <f t="shared" si="5"/>
        <v>12500</v>
      </c>
      <c r="N38" s="70">
        <f>'T4 Costs &amp; Returns'!K50</f>
        <v>150000</v>
      </c>
    </row>
    <row r="39" spans="1:14" s="352" customFormat="1" ht="14.25">
      <c r="A39" s="65" t="s">
        <v>66</v>
      </c>
      <c r="B39" s="383">
        <f t="shared" si="5"/>
        <v>2916.6666666666665</v>
      </c>
      <c r="C39" s="378">
        <f t="shared" si="5"/>
        <v>2916.6666666666665</v>
      </c>
      <c r="D39" s="378">
        <f t="shared" si="5"/>
        <v>2916.6666666666665</v>
      </c>
      <c r="E39" s="378">
        <f t="shared" si="5"/>
        <v>2916.6666666666665</v>
      </c>
      <c r="F39" s="378">
        <f t="shared" si="5"/>
        <v>2916.6666666666665</v>
      </c>
      <c r="G39" s="378">
        <f t="shared" si="5"/>
        <v>2916.6666666666665</v>
      </c>
      <c r="H39" s="378">
        <f t="shared" si="5"/>
        <v>2916.6666666666665</v>
      </c>
      <c r="I39" s="378">
        <f t="shared" si="5"/>
        <v>2916.6666666666665</v>
      </c>
      <c r="J39" s="378">
        <f t="shared" si="5"/>
        <v>2916.6666666666665</v>
      </c>
      <c r="K39" s="378">
        <f t="shared" si="5"/>
        <v>2916.6666666666665</v>
      </c>
      <c r="L39" s="378">
        <f t="shared" si="5"/>
        <v>2916.6666666666665</v>
      </c>
      <c r="M39" s="378">
        <f t="shared" si="5"/>
        <v>2916.6666666666665</v>
      </c>
      <c r="N39" s="70">
        <f>'T4 Costs &amp; Returns'!K51</f>
        <v>35000</v>
      </c>
    </row>
    <row r="40" spans="1:14" s="258" customFormat="1" ht="14.25">
      <c r="A40" s="65" t="s">
        <v>126</v>
      </c>
      <c r="B40" s="378">
        <v>5002</v>
      </c>
      <c r="C40" s="378">
        <v>5002</v>
      </c>
      <c r="D40" s="378">
        <v>5002</v>
      </c>
      <c r="E40" s="378">
        <v>5002</v>
      </c>
      <c r="F40" s="378">
        <v>5002</v>
      </c>
      <c r="G40" s="378">
        <v>5002</v>
      </c>
      <c r="H40" s="378">
        <v>5002</v>
      </c>
      <c r="I40" s="378">
        <v>5002</v>
      </c>
      <c r="J40" s="378">
        <v>5002</v>
      </c>
      <c r="K40" s="378">
        <v>5002</v>
      </c>
      <c r="L40" s="378">
        <v>5002</v>
      </c>
      <c r="M40" s="378">
        <v>5026</v>
      </c>
      <c r="N40" s="70">
        <f>SUM(B40:M40)</f>
        <v>60048</v>
      </c>
    </row>
    <row r="41" spans="1:14" s="258" customFormat="1" ht="14.25">
      <c r="A41" s="65" t="s">
        <v>127</v>
      </c>
      <c r="B41" s="378">
        <v>2993</v>
      </c>
      <c r="C41" s="378">
        <v>2993</v>
      </c>
      <c r="D41" s="378">
        <v>2993</v>
      </c>
      <c r="E41" s="378">
        <v>2993</v>
      </c>
      <c r="F41" s="378">
        <v>2993</v>
      </c>
      <c r="G41" s="378">
        <v>2993</v>
      </c>
      <c r="H41" s="378">
        <v>2993</v>
      </c>
      <c r="I41" s="378">
        <v>2993</v>
      </c>
      <c r="J41" s="378">
        <v>2993</v>
      </c>
      <c r="K41" s="378">
        <v>2993</v>
      </c>
      <c r="L41" s="378">
        <v>2993</v>
      </c>
      <c r="M41" s="378">
        <v>3007</v>
      </c>
      <c r="N41" s="70">
        <f>SUM(B41:M41)</f>
        <v>35930</v>
      </c>
    </row>
    <row r="42" spans="1:14" s="258" customFormat="1" ht="14.25">
      <c r="A42" s="65" t="s">
        <v>128</v>
      </c>
      <c r="B42" s="378">
        <v>609</v>
      </c>
      <c r="C42" s="378">
        <v>609</v>
      </c>
      <c r="D42" s="378">
        <v>609</v>
      </c>
      <c r="E42" s="378">
        <v>609</v>
      </c>
      <c r="F42" s="378">
        <v>609</v>
      </c>
      <c r="G42" s="378">
        <v>609</v>
      </c>
      <c r="H42" s="378">
        <v>609</v>
      </c>
      <c r="I42" s="378">
        <v>609</v>
      </c>
      <c r="J42" s="378">
        <v>609</v>
      </c>
      <c r="K42" s="378">
        <v>609</v>
      </c>
      <c r="L42" s="378">
        <v>609</v>
      </c>
      <c r="M42" s="378">
        <v>609</v>
      </c>
      <c r="N42" s="70">
        <f>SUM(B42:M42)</f>
        <v>7308</v>
      </c>
    </row>
    <row r="43" spans="1:14" s="258" customFormat="1" ht="14.25">
      <c r="A43" s="65" t="s">
        <v>129</v>
      </c>
      <c r="B43" s="378">
        <v>21335</v>
      </c>
      <c r="C43" s="378">
        <v>21335</v>
      </c>
      <c r="D43" s="378">
        <v>21335</v>
      </c>
      <c r="E43" s="378">
        <v>21335</v>
      </c>
      <c r="F43" s="378">
        <v>21335</v>
      </c>
      <c r="G43" s="378">
        <v>21335</v>
      </c>
      <c r="H43" s="378">
        <v>21335</v>
      </c>
      <c r="I43" s="378">
        <v>21335</v>
      </c>
      <c r="J43" s="378">
        <v>21335</v>
      </c>
      <c r="K43" s="378">
        <v>21335</v>
      </c>
      <c r="L43" s="378">
        <v>21335</v>
      </c>
      <c r="M43" s="378">
        <v>21437</v>
      </c>
      <c r="N43" s="70">
        <f>SUM(B43:M43)</f>
        <v>256122</v>
      </c>
    </row>
    <row r="44" spans="1:14" ht="14.25">
      <c r="A44" s="65" t="s">
        <v>130</v>
      </c>
      <c r="B44" s="69">
        <v>91351</v>
      </c>
      <c r="C44" s="69">
        <v>0</v>
      </c>
      <c r="D44" s="69">
        <v>0</v>
      </c>
      <c r="E44" s="69">
        <v>0</v>
      </c>
      <c r="F44" s="69">
        <v>0</v>
      </c>
      <c r="G44" s="69">
        <v>0</v>
      </c>
      <c r="H44" s="69">
        <v>0</v>
      </c>
      <c r="I44" s="69">
        <v>0</v>
      </c>
      <c r="J44" s="69">
        <v>0</v>
      </c>
      <c r="K44" s="69">
        <v>0</v>
      </c>
      <c r="L44" s="69">
        <v>0</v>
      </c>
      <c r="M44" s="69">
        <v>0</v>
      </c>
      <c r="N44" s="70">
        <f>SUM(B44:M44)</f>
        <v>91351</v>
      </c>
    </row>
    <row r="45" spans="1:14" ht="14.25">
      <c r="A45" s="74" t="s">
        <v>123</v>
      </c>
      <c r="B45" s="75" t="e">
        <f>SUM(B12:B44)</f>
        <v>#REF!</v>
      </c>
      <c r="C45" s="75" t="e">
        <f>SUM(C12:C44)</f>
        <v>#REF!</v>
      </c>
      <c r="D45" s="75" t="e">
        <f aca="true" t="shared" si="6" ref="D45:M45">SUM(D12:D43)</f>
        <v>#REF!</v>
      </c>
      <c r="E45" s="75" t="e">
        <f t="shared" si="6"/>
        <v>#REF!</v>
      </c>
      <c r="F45" s="75" t="e">
        <f t="shared" si="6"/>
        <v>#REF!</v>
      </c>
      <c r="G45" s="75" t="e">
        <f t="shared" si="6"/>
        <v>#REF!</v>
      </c>
      <c r="H45" s="75" t="e">
        <f t="shared" si="6"/>
        <v>#REF!</v>
      </c>
      <c r="I45" s="75" t="e">
        <f t="shared" si="6"/>
        <v>#REF!</v>
      </c>
      <c r="J45" s="75" t="e">
        <f t="shared" si="6"/>
        <v>#REF!</v>
      </c>
      <c r="K45" s="75" t="e">
        <f t="shared" si="6"/>
        <v>#REF!</v>
      </c>
      <c r="L45" s="75" t="e">
        <f t="shared" si="6"/>
        <v>#REF!</v>
      </c>
      <c r="M45" s="75" t="e">
        <f t="shared" si="6"/>
        <v>#REF!</v>
      </c>
      <c r="N45" s="76" t="e">
        <f>SUM(N12:N44)</f>
        <v>#REF!</v>
      </c>
    </row>
    <row r="46" spans="1:14" s="46" customFormat="1" ht="14.25">
      <c r="A46" s="406"/>
      <c r="B46" s="407">
        <f>SUM(B40:B43)</f>
        <v>29939</v>
      </c>
      <c r="C46" s="407"/>
      <c r="D46" s="407"/>
      <c r="E46" s="407"/>
      <c r="F46" s="407"/>
      <c r="G46" s="407"/>
      <c r="H46" s="407"/>
      <c r="I46" s="407"/>
      <c r="J46" s="407"/>
      <c r="K46" s="407"/>
      <c r="L46" s="407"/>
      <c r="M46" s="407"/>
      <c r="N46" s="408"/>
    </row>
    <row r="47" spans="1:14" ht="19.5" customHeight="1">
      <c r="A47" s="432" t="s">
        <v>249</v>
      </c>
      <c r="B47" s="432"/>
      <c r="C47" s="432"/>
      <c r="D47" s="432"/>
      <c r="E47" s="432"/>
      <c r="F47" s="432"/>
      <c r="G47" s="432"/>
      <c r="H47" s="432"/>
      <c r="I47" s="432"/>
      <c r="J47" s="432"/>
      <c r="K47" s="432"/>
      <c r="L47" s="432"/>
      <c r="M47" s="432"/>
      <c r="N47" s="432"/>
    </row>
    <row r="48" spans="1:14" ht="14.25">
      <c r="A48" s="56"/>
      <c r="B48" s="57" t="s">
        <v>110</v>
      </c>
      <c r="C48" s="57" t="s">
        <v>111</v>
      </c>
      <c r="D48" s="57" t="s">
        <v>112</v>
      </c>
      <c r="E48" s="57" t="s">
        <v>113</v>
      </c>
      <c r="F48" s="57" t="s">
        <v>114</v>
      </c>
      <c r="G48" s="57" t="s">
        <v>115</v>
      </c>
      <c r="H48" s="57" t="s">
        <v>116</v>
      </c>
      <c r="I48" s="57" t="s">
        <v>117</v>
      </c>
      <c r="J48" s="57" t="s">
        <v>118</v>
      </c>
      <c r="K48" s="57" t="s">
        <v>119</v>
      </c>
      <c r="L48" s="57" t="s">
        <v>120</v>
      </c>
      <c r="M48" s="57" t="s">
        <v>121</v>
      </c>
      <c r="N48" s="57" t="s">
        <v>123</v>
      </c>
    </row>
    <row r="49" spans="1:14" ht="14.25" hidden="1">
      <c r="A49" s="59" t="s">
        <v>132</v>
      </c>
      <c r="B49" s="60" t="s">
        <v>133</v>
      </c>
      <c r="C49" s="58" t="s">
        <v>134</v>
      </c>
      <c r="D49" s="58" t="s">
        <v>135</v>
      </c>
      <c r="E49" s="58" t="s">
        <v>136</v>
      </c>
      <c r="F49" s="58" t="s">
        <v>137</v>
      </c>
      <c r="G49" s="58" t="s">
        <v>138</v>
      </c>
      <c r="H49" s="58" t="s">
        <v>139</v>
      </c>
      <c r="I49" s="58" t="s">
        <v>140</v>
      </c>
      <c r="J49" s="58" t="s">
        <v>141</v>
      </c>
      <c r="K49" s="58" t="s">
        <v>142</v>
      </c>
      <c r="L49" s="58" t="s">
        <v>143</v>
      </c>
      <c r="M49" s="58" t="s">
        <v>144</v>
      </c>
      <c r="N49" s="62" t="s">
        <v>145</v>
      </c>
    </row>
    <row r="50" spans="1:14" ht="14.25">
      <c r="A50" s="77" t="s">
        <v>131</v>
      </c>
      <c r="B50" s="386"/>
      <c r="C50" s="387"/>
      <c r="D50" s="387"/>
      <c r="E50" s="387"/>
      <c r="F50" s="387"/>
      <c r="G50" s="387"/>
      <c r="H50" s="387"/>
      <c r="I50" s="387"/>
      <c r="J50" s="387"/>
      <c r="K50" s="387"/>
      <c r="L50" s="387"/>
      <c r="M50" s="387"/>
      <c r="N50" s="68"/>
    </row>
    <row r="51" spans="1:14" ht="14.25">
      <c r="A51" s="65" t="s">
        <v>210</v>
      </c>
      <c r="B51" s="388">
        <f aca="true" t="shared" si="7" ref="B51:B68">N51/12</f>
        <v>41.924368597951336</v>
      </c>
      <c r="C51" s="389">
        <f aca="true" t="shared" si="8" ref="C51:C68">$N51/12</f>
        <v>41.924368597951336</v>
      </c>
      <c r="D51" s="389">
        <f aca="true" t="shared" si="9" ref="C51:D68">$N51/12</f>
        <v>41.924368597951336</v>
      </c>
      <c r="E51" s="389">
        <f aca="true" t="shared" si="10" ref="E51:E68">$N51/12</f>
        <v>41.924368597951336</v>
      </c>
      <c r="F51" s="389">
        <f aca="true" t="shared" si="11" ref="F51:F68">$N51/12</f>
        <v>41.924368597951336</v>
      </c>
      <c r="G51" s="389">
        <f aca="true" t="shared" si="12" ref="G51:G68">$N51/12</f>
        <v>41.924368597951336</v>
      </c>
      <c r="H51" s="389">
        <f aca="true" t="shared" si="13" ref="H51:H68">$N51/12</f>
        <v>41.924368597951336</v>
      </c>
      <c r="I51" s="389">
        <f aca="true" t="shared" si="14" ref="I51:I68">$N51/12</f>
        <v>41.924368597951336</v>
      </c>
      <c r="J51" s="389">
        <f aca="true" t="shared" si="15" ref="J51:J68">$N51/12</f>
        <v>41.924368597951336</v>
      </c>
      <c r="K51" s="389">
        <f aca="true" t="shared" si="16" ref="K51:K68">$N51/12</f>
        <v>41.924368597951336</v>
      </c>
      <c r="L51" s="389">
        <f aca="true" t="shared" si="17" ref="L51:L68">$N51/12</f>
        <v>41.924368597951336</v>
      </c>
      <c r="M51" s="389">
        <f aca="true" t="shared" si="18" ref="M51:M68">$N51/12</f>
        <v>41.924368597951336</v>
      </c>
      <c r="N51" s="385">
        <f aca="true" t="shared" si="19" ref="N51:N56">N12/5000</f>
        <v>503.09242317541606</v>
      </c>
    </row>
    <row r="52" spans="1:14" ht="14.25">
      <c r="A52" s="65" t="s">
        <v>211</v>
      </c>
      <c r="B52" s="388" t="e">
        <f t="shared" si="7"/>
        <v>#REF!</v>
      </c>
      <c r="C52" s="389" t="e">
        <f t="shared" si="8"/>
        <v>#REF!</v>
      </c>
      <c r="D52" s="389" t="e">
        <f t="shared" si="9"/>
        <v>#REF!</v>
      </c>
      <c r="E52" s="389" t="e">
        <f t="shared" si="10"/>
        <v>#REF!</v>
      </c>
      <c r="F52" s="389" t="e">
        <f t="shared" si="11"/>
        <v>#REF!</v>
      </c>
      <c r="G52" s="389" t="e">
        <f t="shared" si="12"/>
        <v>#REF!</v>
      </c>
      <c r="H52" s="389" t="e">
        <f t="shared" si="13"/>
        <v>#REF!</v>
      </c>
      <c r="I52" s="389" t="e">
        <f t="shared" si="14"/>
        <v>#REF!</v>
      </c>
      <c r="J52" s="389" t="e">
        <f t="shared" si="15"/>
        <v>#REF!</v>
      </c>
      <c r="K52" s="389" t="e">
        <f t="shared" si="16"/>
        <v>#REF!</v>
      </c>
      <c r="L52" s="389" t="e">
        <f t="shared" si="17"/>
        <v>#REF!</v>
      </c>
      <c r="M52" s="389" t="e">
        <f t="shared" si="18"/>
        <v>#REF!</v>
      </c>
      <c r="N52" s="385" t="e">
        <f t="shared" si="19"/>
        <v>#REF!</v>
      </c>
    </row>
    <row r="53" spans="1:14" ht="14.25">
      <c r="A53" s="65" t="s">
        <v>51</v>
      </c>
      <c r="B53" s="388" t="e">
        <f t="shared" si="7"/>
        <v>#REF!</v>
      </c>
      <c r="C53" s="389" t="e">
        <f t="shared" si="8"/>
        <v>#REF!</v>
      </c>
      <c r="D53" s="389" t="e">
        <f t="shared" si="9"/>
        <v>#REF!</v>
      </c>
      <c r="E53" s="389" t="e">
        <f t="shared" si="10"/>
        <v>#REF!</v>
      </c>
      <c r="F53" s="389" t="e">
        <f t="shared" si="11"/>
        <v>#REF!</v>
      </c>
      <c r="G53" s="389" t="e">
        <f t="shared" si="12"/>
        <v>#REF!</v>
      </c>
      <c r="H53" s="389" t="e">
        <f t="shared" si="13"/>
        <v>#REF!</v>
      </c>
      <c r="I53" s="389" t="e">
        <f t="shared" si="14"/>
        <v>#REF!</v>
      </c>
      <c r="J53" s="389" t="e">
        <f t="shared" si="15"/>
        <v>#REF!</v>
      </c>
      <c r="K53" s="389" t="e">
        <f t="shared" si="16"/>
        <v>#REF!</v>
      </c>
      <c r="L53" s="389" t="e">
        <f t="shared" si="17"/>
        <v>#REF!</v>
      </c>
      <c r="M53" s="389" t="e">
        <f t="shared" si="18"/>
        <v>#REF!</v>
      </c>
      <c r="N53" s="385" t="e">
        <f t="shared" si="19"/>
        <v>#REF!</v>
      </c>
    </row>
    <row r="54" spans="1:14" ht="14.25">
      <c r="A54" s="65" t="s">
        <v>220</v>
      </c>
      <c r="B54" s="388">
        <f t="shared" si="7"/>
        <v>2.1025926760563376</v>
      </c>
      <c r="C54" s="389">
        <f t="shared" si="8"/>
        <v>2.1025926760563376</v>
      </c>
      <c r="D54" s="389">
        <f t="shared" si="9"/>
        <v>2.1025926760563376</v>
      </c>
      <c r="E54" s="389">
        <f t="shared" si="10"/>
        <v>2.1025926760563376</v>
      </c>
      <c r="F54" s="389">
        <f t="shared" si="11"/>
        <v>2.1025926760563376</v>
      </c>
      <c r="G54" s="389">
        <f t="shared" si="12"/>
        <v>2.1025926760563376</v>
      </c>
      <c r="H54" s="389">
        <f t="shared" si="13"/>
        <v>2.1025926760563376</v>
      </c>
      <c r="I54" s="389">
        <f t="shared" si="14"/>
        <v>2.1025926760563376</v>
      </c>
      <c r="J54" s="389">
        <f t="shared" si="15"/>
        <v>2.1025926760563376</v>
      </c>
      <c r="K54" s="389">
        <f t="shared" si="16"/>
        <v>2.1025926760563376</v>
      </c>
      <c r="L54" s="389">
        <f t="shared" si="17"/>
        <v>2.1025926760563376</v>
      </c>
      <c r="M54" s="389">
        <f t="shared" si="18"/>
        <v>2.1025926760563376</v>
      </c>
      <c r="N54" s="385">
        <f t="shared" si="19"/>
        <v>25.23111211267605</v>
      </c>
    </row>
    <row r="55" spans="1:14" ht="14.25">
      <c r="A55" s="65" t="s">
        <v>209</v>
      </c>
      <c r="B55" s="388">
        <f t="shared" si="7"/>
        <v>4.149766637323944</v>
      </c>
      <c r="C55" s="389">
        <f t="shared" si="8"/>
        <v>4.149766637323944</v>
      </c>
      <c r="D55" s="389">
        <f t="shared" si="9"/>
        <v>4.149766637323944</v>
      </c>
      <c r="E55" s="389">
        <f t="shared" si="10"/>
        <v>4.149766637323944</v>
      </c>
      <c r="F55" s="389">
        <f t="shared" si="11"/>
        <v>4.149766637323944</v>
      </c>
      <c r="G55" s="389">
        <f t="shared" si="12"/>
        <v>4.149766637323944</v>
      </c>
      <c r="H55" s="389">
        <f t="shared" si="13"/>
        <v>4.149766637323944</v>
      </c>
      <c r="I55" s="389">
        <f t="shared" si="14"/>
        <v>4.149766637323944</v>
      </c>
      <c r="J55" s="389">
        <f t="shared" si="15"/>
        <v>4.149766637323944</v>
      </c>
      <c r="K55" s="389">
        <f t="shared" si="16"/>
        <v>4.149766637323944</v>
      </c>
      <c r="L55" s="389">
        <f t="shared" si="17"/>
        <v>4.149766637323944</v>
      </c>
      <c r="M55" s="389">
        <f t="shared" si="18"/>
        <v>4.149766637323944</v>
      </c>
      <c r="N55" s="385">
        <f t="shared" si="19"/>
        <v>49.79719964788733</v>
      </c>
    </row>
    <row r="56" spans="1:14" ht="14.25">
      <c r="A56" s="65" t="s">
        <v>212</v>
      </c>
      <c r="B56" s="388" t="e">
        <f t="shared" si="7"/>
        <v>#REF!</v>
      </c>
      <c r="C56" s="389" t="e">
        <f t="shared" si="8"/>
        <v>#REF!</v>
      </c>
      <c r="D56" s="389" t="e">
        <f t="shared" si="9"/>
        <v>#REF!</v>
      </c>
      <c r="E56" s="389" t="e">
        <f t="shared" si="10"/>
        <v>#REF!</v>
      </c>
      <c r="F56" s="389" t="e">
        <f t="shared" si="11"/>
        <v>#REF!</v>
      </c>
      <c r="G56" s="389" t="e">
        <f t="shared" si="12"/>
        <v>#REF!</v>
      </c>
      <c r="H56" s="389" t="e">
        <f t="shared" si="13"/>
        <v>#REF!</v>
      </c>
      <c r="I56" s="389" t="e">
        <f t="shared" si="14"/>
        <v>#REF!</v>
      </c>
      <c r="J56" s="389" t="e">
        <f t="shared" si="15"/>
        <v>#REF!</v>
      </c>
      <c r="K56" s="389" t="e">
        <f t="shared" si="16"/>
        <v>#REF!</v>
      </c>
      <c r="L56" s="389" t="e">
        <f t="shared" si="17"/>
        <v>#REF!</v>
      </c>
      <c r="M56" s="389" t="e">
        <f t="shared" si="18"/>
        <v>#REF!</v>
      </c>
      <c r="N56" s="385" t="e">
        <f t="shared" si="19"/>
        <v>#REF!</v>
      </c>
    </row>
    <row r="57" spans="1:14" ht="14.25">
      <c r="A57" s="65" t="s">
        <v>213</v>
      </c>
      <c r="B57" s="388">
        <f t="shared" si="7"/>
        <v>7.317261443661972</v>
      </c>
      <c r="C57" s="389">
        <f t="shared" si="8"/>
        <v>7.317261443661972</v>
      </c>
      <c r="D57" s="389">
        <f t="shared" si="9"/>
        <v>7.317261443661972</v>
      </c>
      <c r="E57" s="389">
        <f t="shared" si="10"/>
        <v>7.317261443661972</v>
      </c>
      <c r="F57" s="389">
        <f t="shared" si="11"/>
        <v>7.317261443661972</v>
      </c>
      <c r="G57" s="389">
        <f t="shared" si="12"/>
        <v>7.317261443661972</v>
      </c>
      <c r="H57" s="389">
        <f t="shared" si="13"/>
        <v>7.317261443661972</v>
      </c>
      <c r="I57" s="389">
        <f t="shared" si="14"/>
        <v>7.317261443661972</v>
      </c>
      <c r="J57" s="389">
        <f t="shared" si="15"/>
        <v>7.317261443661972</v>
      </c>
      <c r="K57" s="389">
        <f t="shared" si="16"/>
        <v>7.317261443661972</v>
      </c>
      <c r="L57" s="389">
        <f t="shared" si="17"/>
        <v>7.317261443661972</v>
      </c>
      <c r="M57" s="389">
        <f t="shared" si="18"/>
        <v>7.317261443661972</v>
      </c>
      <c r="N57" s="385">
        <f aca="true" t="shared" si="20" ref="N57:N68">N18/5000</f>
        <v>87.80713732394366</v>
      </c>
    </row>
    <row r="58" spans="1:14" ht="14.25">
      <c r="A58" s="65" t="s">
        <v>216</v>
      </c>
      <c r="B58" s="388">
        <f t="shared" si="7"/>
        <v>2.759952224711908</v>
      </c>
      <c r="C58" s="389">
        <f t="shared" si="8"/>
        <v>2.759952224711908</v>
      </c>
      <c r="D58" s="389">
        <f t="shared" si="9"/>
        <v>2.759952224711908</v>
      </c>
      <c r="E58" s="389">
        <f t="shared" si="10"/>
        <v>2.759952224711908</v>
      </c>
      <c r="F58" s="389">
        <f t="shared" si="11"/>
        <v>2.759952224711908</v>
      </c>
      <c r="G58" s="389">
        <f t="shared" si="12"/>
        <v>2.759952224711908</v>
      </c>
      <c r="H58" s="389">
        <f t="shared" si="13"/>
        <v>2.759952224711908</v>
      </c>
      <c r="I58" s="389">
        <f t="shared" si="14"/>
        <v>2.759952224711908</v>
      </c>
      <c r="J58" s="389">
        <f t="shared" si="15"/>
        <v>2.759952224711908</v>
      </c>
      <c r="K58" s="389">
        <f t="shared" si="16"/>
        <v>2.759952224711908</v>
      </c>
      <c r="L58" s="389">
        <f t="shared" si="17"/>
        <v>2.759952224711908</v>
      </c>
      <c r="M58" s="389">
        <f t="shared" si="18"/>
        <v>2.759952224711908</v>
      </c>
      <c r="N58" s="385">
        <f t="shared" si="20"/>
        <v>33.119426696542895</v>
      </c>
    </row>
    <row r="59" spans="1:14" ht="14.25">
      <c r="A59" s="65" t="s">
        <v>215</v>
      </c>
      <c r="B59" s="388">
        <f t="shared" si="7"/>
        <v>27.510745345177124</v>
      </c>
      <c r="C59" s="389">
        <f t="shared" si="9"/>
        <v>27.510745345177124</v>
      </c>
      <c r="D59" s="389">
        <f t="shared" si="9"/>
        <v>27.510745345177124</v>
      </c>
      <c r="E59" s="389">
        <f t="shared" si="10"/>
        <v>27.510745345177124</v>
      </c>
      <c r="F59" s="389">
        <f t="shared" si="11"/>
        <v>27.510745345177124</v>
      </c>
      <c r="G59" s="389">
        <f t="shared" si="12"/>
        <v>27.510745345177124</v>
      </c>
      <c r="H59" s="389">
        <f t="shared" si="13"/>
        <v>27.510745345177124</v>
      </c>
      <c r="I59" s="389">
        <f t="shared" si="14"/>
        <v>27.510745345177124</v>
      </c>
      <c r="J59" s="389">
        <f t="shared" si="15"/>
        <v>27.510745345177124</v>
      </c>
      <c r="K59" s="389">
        <f t="shared" si="16"/>
        <v>27.510745345177124</v>
      </c>
      <c r="L59" s="389">
        <f t="shared" si="17"/>
        <v>27.510745345177124</v>
      </c>
      <c r="M59" s="389">
        <f t="shared" si="18"/>
        <v>27.510745345177124</v>
      </c>
      <c r="N59" s="385">
        <f t="shared" si="20"/>
        <v>330.1289441421255</v>
      </c>
    </row>
    <row r="60" spans="1:14" ht="14.25">
      <c r="A60" s="65" t="s">
        <v>52</v>
      </c>
      <c r="B60" s="388">
        <f t="shared" si="7"/>
        <v>3.429102112676057</v>
      </c>
      <c r="C60" s="389">
        <f t="shared" si="8"/>
        <v>3.429102112676057</v>
      </c>
      <c r="D60" s="389">
        <f t="shared" si="9"/>
        <v>3.429102112676057</v>
      </c>
      <c r="E60" s="389">
        <f t="shared" si="10"/>
        <v>3.429102112676057</v>
      </c>
      <c r="F60" s="389">
        <f t="shared" si="11"/>
        <v>3.429102112676057</v>
      </c>
      <c r="G60" s="389">
        <f t="shared" si="12"/>
        <v>3.429102112676057</v>
      </c>
      <c r="H60" s="389">
        <f t="shared" si="13"/>
        <v>3.429102112676057</v>
      </c>
      <c r="I60" s="389">
        <f t="shared" si="14"/>
        <v>3.429102112676057</v>
      </c>
      <c r="J60" s="389">
        <f t="shared" si="15"/>
        <v>3.429102112676057</v>
      </c>
      <c r="K60" s="389">
        <f t="shared" si="16"/>
        <v>3.429102112676057</v>
      </c>
      <c r="L60" s="389">
        <f t="shared" si="17"/>
        <v>3.429102112676057</v>
      </c>
      <c r="M60" s="389">
        <f t="shared" si="18"/>
        <v>3.429102112676057</v>
      </c>
      <c r="N60" s="385">
        <f t="shared" si="20"/>
        <v>41.14922535211268</v>
      </c>
    </row>
    <row r="61" spans="1:14" ht="14.25">
      <c r="A61" s="65" t="s">
        <v>214</v>
      </c>
      <c r="B61" s="388">
        <f t="shared" si="7"/>
        <v>6.4641340228873245</v>
      </c>
      <c r="C61" s="389">
        <f t="shared" si="8"/>
        <v>6.4641340228873245</v>
      </c>
      <c r="D61" s="389">
        <f t="shared" si="9"/>
        <v>6.4641340228873245</v>
      </c>
      <c r="E61" s="389">
        <f t="shared" si="10"/>
        <v>6.4641340228873245</v>
      </c>
      <c r="F61" s="389">
        <f t="shared" si="11"/>
        <v>6.4641340228873245</v>
      </c>
      <c r="G61" s="389">
        <f t="shared" si="12"/>
        <v>6.4641340228873245</v>
      </c>
      <c r="H61" s="389">
        <f t="shared" si="13"/>
        <v>6.4641340228873245</v>
      </c>
      <c r="I61" s="389">
        <f t="shared" si="14"/>
        <v>6.4641340228873245</v>
      </c>
      <c r="J61" s="389">
        <f t="shared" si="15"/>
        <v>6.4641340228873245</v>
      </c>
      <c r="K61" s="389">
        <f t="shared" si="16"/>
        <v>6.4641340228873245</v>
      </c>
      <c r="L61" s="389">
        <f t="shared" si="17"/>
        <v>6.4641340228873245</v>
      </c>
      <c r="M61" s="389">
        <f t="shared" si="18"/>
        <v>6.4641340228873245</v>
      </c>
      <c r="N61" s="385">
        <f t="shared" si="20"/>
        <v>77.56960827464789</v>
      </c>
    </row>
    <row r="62" spans="1:14" ht="14.25">
      <c r="A62" s="65" t="s">
        <v>217</v>
      </c>
      <c r="B62" s="388">
        <f t="shared" si="7"/>
        <v>6.590577464788734</v>
      </c>
      <c r="C62" s="389">
        <f t="shared" si="8"/>
        <v>6.590577464788734</v>
      </c>
      <c r="D62" s="389">
        <f t="shared" si="9"/>
        <v>6.590577464788734</v>
      </c>
      <c r="E62" s="389">
        <f t="shared" si="10"/>
        <v>6.590577464788734</v>
      </c>
      <c r="F62" s="389">
        <f t="shared" si="11"/>
        <v>6.590577464788734</v>
      </c>
      <c r="G62" s="389">
        <f t="shared" si="12"/>
        <v>6.590577464788734</v>
      </c>
      <c r="H62" s="389">
        <f t="shared" si="13"/>
        <v>6.590577464788734</v>
      </c>
      <c r="I62" s="389">
        <f t="shared" si="14"/>
        <v>6.590577464788734</v>
      </c>
      <c r="J62" s="389">
        <f t="shared" si="15"/>
        <v>6.590577464788734</v>
      </c>
      <c r="K62" s="389">
        <f t="shared" si="16"/>
        <v>6.590577464788734</v>
      </c>
      <c r="L62" s="389">
        <f t="shared" si="17"/>
        <v>6.590577464788734</v>
      </c>
      <c r="M62" s="389">
        <f t="shared" si="18"/>
        <v>6.590577464788734</v>
      </c>
      <c r="N62" s="385">
        <f t="shared" si="20"/>
        <v>79.08692957746482</v>
      </c>
    </row>
    <row r="63" spans="1:14" ht="14.25">
      <c r="A63" s="65" t="s">
        <v>53</v>
      </c>
      <c r="B63" s="388">
        <f t="shared" si="7"/>
        <v>5.2423974071702935</v>
      </c>
      <c r="C63" s="389">
        <f t="shared" si="8"/>
        <v>5.2423974071702935</v>
      </c>
      <c r="D63" s="389">
        <f t="shared" si="9"/>
        <v>5.2423974071702935</v>
      </c>
      <c r="E63" s="389">
        <f t="shared" si="10"/>
        <v>5.2423974071702935</v>
      </c>
      <c r="F63" s="389">
        <f t="shared" si="11"/>
        <v>5.2423974071702935</v>
      </c>
      <c r="G63" s="389">
        <f t="shared" si="12"/>
        <v>5.2423974071702935</v>
      </c>
      <c r="H63" s="389">
        <f t="shared" si="13"/>
        <v>5.2423974071702935</v>
      </c>
      <c r="I63" s="389">
        <f t="shared" si="14"/>
        <v>5.2423974071702935</v>
      </c>
      <c r="J63" s="389">
        <f t="shared" si="15"/>
        <v>5.2423974071702935</v>
      </c>
      <c r="K63" s="389">
        <f t="shared" si="16"/>
        <v>5.2423974071702935</v>
      </c>
      <c r="L63" s="389">
        <f t="shared" si="17"/>
        <v>5.2423974071702935</v>
      </c>
      <c r="M63" s="389">
        <f t="shared" si="18"/>
        <v>5.2423974071702935</v>
      </c>
      <c r="N63" s="385">
        <f t="shared" si="20"/>
        <v>62.908768886043525</v>
      </c>
    </row>
    <row r="64" spans="1:14" ht="14.25">
      <c r="A64" s="65" t="s">
        <v>54</v>
      </c>
      <c r="B64" s="388">
        <f t="shared" si="7"/>
        <v>19.803774967989764</v>
      </c>
      <c r="C64" s="389">
        <f t="shared" si="8"/>
        <v>19.803774967989764</v>
      </c>
      <c r="D64" s="389">
        <f t="shared" si="9"/>
        <v>19.803774967989764</v>
      </c>
      <c r="E64" s="389">
        <f t="shared" si="10"/>
        <v>19.803774967989764</v>
      </c>
      <c r="F64" s="389">
        <f t="shared" si="11"/>
        <v>19.803774967989764</v>
      </c>
      <c r="G64" s="389">
        <f t="shared" si="12"/>
        <v>19.803774967989764</v>
      </c>
      <c r="H64" s="389">
        <f t="shared" si="13"/>
        <v>19.803774967989764</v>
      </c>
      <c r="I64" s="389">
        <f t="shared" si="14"/>
        <v>19.803774967989764</v>
      </c>
      <c r="J64" s="389">
        <f t="shared" si="15"/>
        <v>19.803774967989764</v>
      </c>
      <c r="K64" s="389">
        <f t="shared" si="16"/>
        <v>19.803774967989764</v>
      </c>
      <c r="L64" s="389">
        <f t="shared" si="17"/>
        <v>19.803774967989764</v>
      </c>
      <c r="M64" s="389">
        <f t="shared" si="18"/>
        <v>19.803774967989764</v>
      </c>
      <c r="N64" s="385">
        <f t="shared" si="20"/>
        <v>237.64529961587718</v>
      </c>
    </row>
    <row r="65" spans="1:14" ht="14.25">
      <c r="A65" s="65" t="s">
        <v>55</v>
      </c>
      <c r="B65" s="388">
        <f t="shared" si="7"/>
        <v>6.19544976952625</v>
      </c>
      <c r="C65" s="389">
        <f t="shared" si="8"/>
        <v>6.19544976952625</v>
      </c>
      <c r="D65" s="389">
        <f t="shared" si="9"/>
        <v>6.19544976952625</v>
      </c>
      <c r="E65" s="389">
        <f t="shared" si="10"/>
        <v>6.19544976952625</v>
      </c>
      <c r="F65" s="389">
        <f t="shared" si="11"/>
        <v>6.19544976952625</v>
      </c>
      <c r="G65" s="389">
        <f t="shared" si="12"/>
        <v>6.19544976952625</v>
      </c>
      <c r="H65" s="389">
        <f t="shared" si="13"/>
        <v>6.19544976952625</v>
      </c>
      <c r="I65" s="389">
        <f t="shared" si="14"/>
        <v>6.19544976952625</v>
      </c>
      <c r="J65" s="389">
        <f t="shared" si="15"/>
        <v>6.19544976952625</v>
      </c>
      <c r="K65" s="389">
        <f t="shared" si="16"/>
        <v>6.19544976952625</v>
      </c>
      <c r="L65" s="389">
        <f t="shared" si="17"/>
        <v>6.19544976952625</v>
      </c>
      <c r="M65" s="389">
        <f t="shared" si="18"/>
        <v>6.19544976952625</v>
      </c>
      <c r="N65" s="385">
        <f t="shared" si="20"/>
        <v>74.345397234315</v>
      </c>
    </row>
    <row r="66" spans="1:14" s="46" customFormat="1" ht="14.25">
      <c r="A66" s="65" t="s">
        <v>218</v>
      </c>
      <c r="B66" s="388">
        <f t="shared" si="7"/>
        <v>0.022333333333333334</v>
      </c>
      <c r="C66" s="389">
        <f t="shared" si="8"/>
        <v>0.022333333333333334</v>
      </c>
      <c r="D66" s="389">
        <f t="shared" si="9"/>
        <v>0.022333333333333334</v>
      </c>
      <c r="E66" s="389">
        <f t="shared" si="10"/>
        <v>0.022333333333333334</v>
      </c>
      <c r="F66" s="389">
        <f t="shared" si="11"/>
        <v>0.022333333333333334</v>
      </c>
      <c r="G66" s="389">
        <f t="shared" si="12"/>
        <v>0.022333333333333334</v>
      </c>
      <c r="H66" s="389">
        <f t="shared" si="13"/>
        <v>0.022333333333333334</v>
      </c>
      <c r="I66" s="389">
        <f t="shared" si="14"/>
        <v>0.022333333333333334</v>
      </c>
      <c r="J66" s="389">
        <f t="shared" si="15"/>
        <v>0.022333333333333334</v>
      </c>
      <c r="K66" s="389">
        <f t="shared" si="16"/>
        <v>0.022333333333333334</v>
      </c>
      <c r="L66" s="389">
        <f t="shared" si="17"/>
        <v>0.022333333333333334</v>
      </c>
      <c r="M66" s="389">
        <f t="shared" si="18"/>
        <v>0.022333333333333334</v>
      </c>
      <c r="N66" s="385">
        <f t="shared" si="20"/>
        <v>0.268</v>
      </c>
    </row>
    <row r="67" spans="1:14" ht="14.25">
      <c r="A67" s="65" t="s">
        <v>219</v>
      </c>
      <c r="B67" s="388" t="e">
        <f t="shared" si="7"/>
        <v>#REF!</v>
      </c>
      <c r="C67" s="389" t="e">
        <f t="shared" si="8"/>
        <v>#REF!</v>
      </c>
      <c r="D67" s="389" t="e">
        <f t="shared" si="9"/>
        <v>#REF!</v>
      </c>
      <c r="E67" s="389" t="e">
        <f t="shared" si="10"/>
        <v>#REF!</v>
      </c>
      <c r="F67" s="389" t="e">
        <f t="shared" si="11"/>
        <v>#REF!</v>
      </c>
      <c r="G67" s="389" t="e">
        <f t="shared" si="12"/>
        <v>#REF!</v>
      </c>
      <c r="H67" s="389" t="e">
        <f t="shared" si="13"/>
        <v>#REF!</v>
      </c>
      <c r="I67" s="389" t="e">
        <f t="shared" si="14"/>
        <v>#REF!</v>
      </c>
      <c r="J67" s="389" t="e">
        <f t="shared" si="15"/>
        <v>#REF!</v>
      </c>
      <c r="K67" s="389" t="e">
        <f t="shared" si="16"/>
        <v>#REF!</v>
      </c>
      <c r="L67" s="389" t="e">
        <f t="shared" si="17"/>
        <v>#REF!</v>
      </c>
      <c r="M67" s="389" t="e">
        <f t="shared" si="18"/>
        <v>#REF!</v>
      </c>
      <c r="N67" s="385" t="e">
        <f t="shared" si="20"/>
        <v>#REF!</v>
      </c>
    </row>
    <row r="68" spans="1:14" ht="14.25">
      <c r="A68" s="65" t="s">
        <v>204</v>
      </c>
      <c r="B68" s="388">
        <f t="shared" si="7"/>
        <v>5.555698503521128</v>
      </c>
      <c r="C68" s="389">
        <f t="shared" si="8"/>
        <v>5.555698503521128</v>
      </c>
      <c r="D68" s="389">
        <f t="shared" si="9"/>
        <v>5.555698503521128</v>
      </c>
      <c r="E68" s="389">
        <f t="shared" si="10"/>
        <v>5.555698503521128</v>
      </c>
      <c r="F68" s="389">
        <f t="shared" si="11"/>
        <v>5.555698503521128</v>
      </c>
      <c r="G68" s="389">
        <f t="shared" si="12"/>
        <v>5.555698503521128</v>
      </c>
      <c r="H68" s="389">
        <f t="shared" si="13"/>
        <v>5.555698503521128</v>
      </c>
      <c r="I68" s="389">
        <f t="shared" si="14"/>
        <v>5.555698503521128</v>
      </c>
      <c r="J68" s="389">
        <f t="shared" si="15"/>
        <v>5.555698503521128</v>
      </c>
      <c r="K68" s="389">
        <f t="shared" si="16"/>
        <v>5.555698503521128</v>
      </c>
      <c r="L68" s="389">
        <f t="shared" si="17"/>
        <v>5.555698503521128</v>
      </c>
      <c r="M68" s="389">
        <f t="shared" si="18"/>
        <v>5.555698503521128</v>
      </c>
      <c r="N68" s="385">
        <f t="shared" si="20"/>
        <v>66.66838204225354</v>
      </c>
    </row>
  </sheetData>
  <sheetProtection/>
  <mergeCells count="2">
    <mergeCell ref="A1:N1"/>
    <mergeCell ref="A47:N47"/>
  </mergeCells>
  <printOptions horizontalCentered="1"/>
  <pageMargins left="0.7" right="0.7" top="0.75" bottom="0.75" header="0.3" footer="0.3"/>
  <pageSetup fitToHeight="2" horizontalDpi="600" verticalDpi="600" orientation="landscape" scale="71" r:id="rId2"/>
  <rowBreaks count="1" manualBreakCount="1">
    <brk id="46" max="13" man="1"/>
  </rowBreaks>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P131"/>
  <sheetViews>
    <sheetView zoomScale="80" zoomScaleNormal="80" zoomScalePageLayoutView="0" workbookViewId="0" topLeftCell="A1">
      <selection activeCell="L9" sqref="L9"/>
    </sheetView>
  </sheetViews>
  <sheetFormatPr defaultColWidth="26.57421875" defaultRowHeight="15"/>
  <cols>
    <col min="1" max="1" width="28.57421875" style="252" customWidth="1"/>
    <col min="2" max="2" width="1.57421875" style="252" customWidth="1"/>
    <col min="3" max="3" width="10.28125" style="266" customWidth="1"/>
    <col min="4" max="4" width="1.57421875" style="252" customWidth="1"/>
    <col min="5" max="5" width="10.28125" style="259" customWidth="1"/>
    <col min="6" max="6" width="2.00390625" style="252" customWidth="1"/>
    <col min="7" max="7" width="10.28125" style="252" customWidth="1"/>
    <col min="8" max="8" width="2.421875" style="252" customWidth="1"/>
    <col min="9" max="9" width="14.28125" style="258" customWidth="1"/>
    <col min="10" max="10" width="1.57421875" style="252" customWidth="1"/>
    <col min="11" max="11" width="7.57421875" style="252" customWidth="1"/>
    <col min="12" max="12" width="12.57421875" style="273" customWidth="1"/>
    <col min="13" max="13" width="13.00390625" style="273" customWidth="1"/>
    <col min="14" max="14" width="10.421875" style="262" customWidth="1"/>
    <col min="15" max="15" width="9.421875" style="336" customWidth="1"/>
    <col min="16" max="16" width="17.421875" style="252" customWidth="1"/>
    <col min="17" max="255" width="9.28125" style="252" customWidth="1"/>
    <col min="256" max="16384" width="26.57421875" style="252" customWidth="1"/>
  </cols>
  <sheetData>
    <row r="1" spans="1:16" ht="26.25" customHeight="1">
      <c r="A1" s="433" t="s">
        <v>237</v>
      </c>
      <c r="B1" s="433"/>
      <c r="C1" s="433"/>
      <c r="D1" s="433"/>
      <c r="E1" s="433"/>
      <c r="F1" s="433"/>
      <c r="G1" s="433"/>
      <c r="H1" s="433"/>
      <c r="I1" s="433"/>
      <c r="J1" s="433"/>
      <c r="K1" s="433"/>
      <c r="L1" s="433"/>
      <c r="M1" s="433"/>
      <c r="N1" s="433"/>
      <c r="O1" s="433"/>
      <c r="P1" s="433"/>
    </row>
    <row r="2" spans="1:16" s="305" customFormat="1" ht="15.75">
      <c r="A2" s="300"/>
      <c r="B2" s="300"/>
      <c r="C2" s="301" t="s">
        <v>0</v>
      </c>
      <c r="D2" s="301"/>
      <c r="E2" s="302"/>
      <c r="F2" s="301"/>
      <c r="G2" s="301" t="s">
        <v>1</v>
      </c>
      <c r="H2" s="301"/>
      <c r="I2" s="303" t="s">
        <v>2</v>
      </c>
      <c r="J2" s="304"/>
      <c r="K2" s="303" t="s">
        <v>91</v>
      </c>
      <c r="L2" s="318" t="s">
        <v>94</v>
      </c>
      <c r="M2" s="318" t="s">
        <v>94</v>
      </c>
      <c r="N2" s="196" t="s">
        <v>90</v>
      </c>
      <c r="O2" s="332" t="s">
        <v>84</v>
      </c>
      <c r="P2" s="303" t="s">
        <v>84</v>
      </c>
    </row>
    <row r="3" spans="1:16" s="305" customFormat="1" ht="15.75">
      <c r="A3" s="306" t="s">
        <v>3</v>
      </c>
      <c r="B3" s="307"/>
      <c r="C3" s="306" t="s">
        <v>109</v>
      </c>
      <c r="D3" s="306"/>
      <c r="E3" s="308" t="s">
        <v>4</v>
      </c>
      <c r="F3" s="306"/>
      <c r="G3" s="306" t="s">
        <v>5</v>
      </c>
      <c r="H3" s="306"/>
      <c r="I3" s="309" t="s">
        <v>5</v>
      </c>
      <c r="J3" s="310"/>
      <c r="K3" s="309" t="s">
        <v>92</v>
      </c>
      <c r="L3" s="319" t="s">
        <v>87</v>
      </c>
      <c r="M3" s="319" t="s">
        <v>87</v>
      </c>
      <c r="N3" s="197" t="s">
        <v>89</v>
      </c>
      <c r="O3" s="333" t="s">
        <v>85</v>
      </c>
      <c r="P3" s="309" t="s">
        <v>85</v>
      </c>
    </row>
    <row r="4" spans="1:16" s="305" customFormat="1" ht="15.75">
      <c r="A4" s="311"/>
      <c r="B4" s="312"/>
      <c r="C4" s="311"/>
      <c r="D4" s="312"/>
      <c r="E4" s="313"/>
      <c r="F4" s="312"/>
      <c r="G4" s="312"/>
      <c r="H4" s="312"/>
      <c r="I4" s="351" t="s">
        <v>189</v>
      </c>
      <c r="J4" s="314"/>
      <c r="K4" s="91" t="s">
        <v>81</v>
      </c>
      <c r="L4" s="320" t="s">
        <v>70</v>
      </c>
      <c r="M4" s="320" t="s">
        <v>95</v>
      </c>
      <c r="N4" s="198" t="s">
        <v>83</v>
      </c>
      <c r="O4" s="334" t="s">
        <v>86</v>
      </c>
      <c r="P4" s="91" t="s">
        <v>87</v>
      </c>
    </row>
    <row r="5" spans="1:16" ht="15">
      <c r="A5" s="253"/>
      <c r="B5" s="253"/>
      <c r="C5" s="36"/>
      <c r="D5" s="253"/>
      <c r="E5" s="256"/>
      <c r="F5" s="253"/>
      <c r="G5" s="257"/>
      <c r="H5" s="253"/>
      <c r="I5" s="254"/>
      <c r="J5" s="255"/>
      <c r="K5" s="274"/>
      <c r="L5" s="331"/>
      <c r="M5" s="331"/>
      <c r="N5" s="426"/>
      <c r="O5" s="426"/>
      <c r="P5" s="426"/>
    </row>
    <row r="6" spans="1:16" ht="15">
      <c r="A6" s="293" t="s">
        <v>7</v>
      </c>
      <c r="B6" s="275"/>
      <c r="C6" s="330"/>
      <c r="D6" s="275"/>
      <c r="E6" s="276"/>
      <c r="F6" s="275"/>
      <c r="G6" s="278"/>
      <c r="H6" s="275"/>
      <c r="I6" s="279"/>
      <c r="J6" s="280"/>
      <c r="K6" s="98"/>
      <c r="L6" s="282"/>
      <c r="M6" s="282"/>
      <c r="N6" s="263"/>
      <c r="O6" s="287"/>
      <c r="P6" s="98"/>
    </row>
    <row r="7" spans="1:16" ht="15">
      <c r="A7" s="275"/>
      <c r="B7" s="275"/>
      <c r="C7" s="330"/>
      <c r="D7" s="275"/>
      <c r="E7" s="276"/>
      <c r="F7" s="275"/>
      <c r="G7" s="278"/>
      <c r="H7" s="275"/>
      <c r="I7" s="279"/>
      <c r="J7" s="280"/>
      <c r="K7" s="98"/>
      <c r="L7" s="282"/>
      <c r="M7" s="282"/>
      <c r="N7" s="263"/>
      <c r="O7" s="287"/>
      <c r="P7" s="348"/>
    </row>
    <row r="8" spans="1:16" ht="15">
      <c r="A8" s="294" t="s">
        <v>8</v>
      </c>
      <c r="B8" s="275"/>
      <c r="C8" s="330"/>
      <c r="D8" s="275"/>
      <c r="E8" s="276"/>
      <c r="F8" s="275"/>
      <c r="G8" s="278"/>
      <c r="H8" s="275"/>
      <c r="I8" s="323">
        <f>SUM(I9:I9)</f>
        <v>8900000</v>
      </c>
      <c r="J8" s="280"/>
      <c r="K8" s="98">
        <v>3</v>
      </c>
      <c r="L8" s="282">
        <f>1.05*1100</f>
        <v>1155</v>
      </c>
      <c r="M8" s="282">
        <f>L8*C9</f>
        <v>5775000</v>
      </c>
      <c r="N8" s="263">
        <v>0.05</v>
      </c>
      <c r="O8" s="287">
        <v>0.3672</v>
      </c>
      <c r="P8" s="347">
        <f>O8*(I8-M8)+(N8*M8)</f>
        <v>1436250</v>
      </c>
    </row>
    <row r="9" spans="1:16" ht="15">
      <c r="A9" s="295" t="s">
        <v>9</v>
      </c>
      <c r="B9" s="275"/>
      <c r="C9" s="281">
        <f>TotalCows</f>
        <v>5000</v>
      </c>
      <c r="D9" s="275"/>
      <c r="E9" s="281" t="s">
        <v>12</v>
      </c>
      <c r="F9" s="275"/>
      <c r="G9" s="296">
        <v>1780</v>
      </c>
      <c r="H9" s="275"/>
      <c r="I9" s="324">
        <f>C9*G9</f>
        <v>8900000</v>
      </c>
      <c r="J9" s="280"/>
      <c r="K9" s="98"/>
      <c r="L9" s="282"/>
      <c r="M9" s="282"/>
      <c r="N9" s="263"/>
      <c r="O9" s="287"/>
      <c r="P9" s="348"/>
    </row>
    <row r="10" spans="1:16" ht="15">
      <c r="A10" s="275"/>
      <c r="B10" s="275"/>
      <c r="C10" s="330"/>
      <c r="D10" s="275"/>
      <c r="E10" s="276"/>
      <c r="F10" s="275"/>
      <c r="G10" s="278"/>
      <c r="H10" s="275"/>
      <c r="I10" s="324"/>
      <c r="J10" s="280"/>
      <c r="K10" s="98"/>
      <c r="L10" s="282"/>
      <c r="M10" s="282"/>
      <c r="N10" s="263"/>
      <c r="O10" s="287"/>
      <c r="P10" s="348"/>
    </row>
    <row r="11" spans="1:16" ht="15">
      <c r="A11" s="294" t="s">
        <v>10</v>
      </c>
      <c r="B11" s="275"/>
      <c r="C11" s="330"/>
      <c r="D11" s="275"/>
      <c r="E11" s="276"/>
      <c r="F11" s="275"/>
      <c r="G11" s="278"/>
      <c r="H11" s="275"/>
      <c r="I11" s="323">
        <f>SUM(I12:I13)</f>
        <v>4320000</v>
      </c>
      <c r="J11" s="280"/>
      <c r="K11" s="98"/>
      <c r="L11" s="282"/>
      <c r="M11" s="282"/>
      <c r="N11" s="263"/>
      <c r="O11" s="287"/>
      <c r="P11" s="349"/>
    </row>
    <row r="12" spans="1:16" ht="15">
      <c r="A12" s="297" t="s">
        <v>196</v>
      </c>
      <c r="B12" s="275"/>
      <c r="C12" s="327">
        <f>0.06*C13</f>
        <v>300</v>
      </c>
      <c r="D12" s="275"/>
      <c r="E12" s="281" t="s">
        <v>6</v>
      </c>
      <c r="F12" s="275"/>
      <c r="G12" s="296">
        <v>4650</v>
      </c>
      <c r="H12" s="275"/>
      <c r="I12" s="324">
        <f>C12*G12</f>
        <v>1395000</v>
      </c>
      <c r="J12" s="280"/>
      <c r="K12" s="98"/>
      <c r="L12" s="282"/>
      <c r="M12" s="282"/>
      <c r="N12" s="353">
        <v>0.075</v>
      </c>
      <c r="O12" s="357"/>
      <c r="P12" s="359">
        <f>N12*I12</f>
        <v>104625</v>
      </c>
    </row>
    <row r="13" spans="1:16" ht="15">
      <c r="A13" s="283" t="s">
        <v>197</v>
      </c>
      <c r="B13" s="275"/>
      <c r="C13" s="327">
        <f>TotalCows</f>
        <v>5000</v>
      </c>
      <c r="D13" s="275"/>
      <c r="E13" s="281" t="s">
        <v>12</v>
      </c>
      <c r="F13" s="275"/>
      <c r="G13" s="296">
        <v>585</v>
      </c>
      <c r="H13" s="275"/>
      <c r="I13" s="324">
        <f>C13*G13</f>
        <v>2925000</v>
      </c>
      <c r="J13" s="280"/>
      <c r="K13" s="98">
        <v>30</v>
      </c>
      <c r="L13" s="356">
        <v>0</v>
      </c>
      <c r="M13" s="282"/>
      <c r="N13" s="353">
        <v>0.06</v>
      </c>
      <c r="O13" s="358">
        <v>0.07265</v>
      </c>
      <c r="P13" s="359">
        <f>O13*(I13-L13)+(N13*L13)</f>
        <v>212501.25000000003</v>
      </c>
    </row>
    <row r="14" spans="1:16" ht="15">
      <c r="A14" s="275"/>
      <c r="B14" s="275"/>
      <c r="C14" s="330"/>
      <c r="D14" s="275"/>
      <c r="E14" s="276"/>
      <c r="F14" s="275"/>
      <c r="G14" s="278"/>
      <c r="H14" s="275"/>
      <c r="I14" s="317"/>
      <c r="J14" s="280"/>
      <c r="K14" s="98"/>
      <c r="L14" s="282"/>
      <c r="M14" s="282"/>
      <c r="N14" s="263"/>
      <c r="O14" s="357"/>
      <c r="P14" s="348"/>
    </row>
    <row r="15" spans="1:16" ht="15">
      <c r="A15" s="294" t="s">
        <v>14</v>
      </c>
      <c r="B15" s="275"/>
      <c r="C15" s="330"/>
      <c r="D15" s="275"/>
      <c r="E15" s="276"/>
      <c r="F15" s="275"/>
      <c r="G15" s="278"/>
      <c r="H15" s="275"/>
      <c r="I15" s="325">
        <f>SUM(I16:I18)</f>
        <v>547200</v>
      </c>
      <c r="J15" s="280"/>
      <c r="K15" s="98"/>
      <c r="L15" s="282"/>
      <c r="M15" s="282"/>
      <c r="N15" s="263"/>
      <c r="O15" s="357"/>
      <c r="P15" s="348"/>
    </row>
    <row r="16" spans="1:16" ht="15">
      <c r="A16" s="295" t="s">
        <v>15</v>
      </c>
      <c r="B16" s="275"/>
      <c r="C16" s="327">
        <v>1</v>
      </c>
      <c r="D16" s="275"/>
      <c r="E16" s="281" t="s">
        <v>16</v>
      </c>
      <c r="F16" s="275"/>
      <c r="G16" s="296">
        <v>105400</v>
      </c>
      <c r="H16" s="275"/>
      <c r="I16" s="317">
        <f>C16*G16</f>
        <v>105400</v>
      </c>
      <c r="J16" s="280"/>
      <c r="K16" s="98">
        <v>30</v>
      </c>
      <c r="L16" s="282">
        <v>0</v>
      </c>
      <c r="M16" s="282"/>
      <c r="N16" s="263">
        <v>0.06</v>
      </c>
      <c r="O16" s="358">
        <v>0.07265</v>
      </c>
      <c r="P16" s="347">
        <f>O16*(I16-L16)+(N16*L16)</f>
        <v>7657.31</v>
      </c>
    </row>
    <row r="17" spans="1:16" ht="15">
      <c r="A17" s="283" t="s">
        <v>35</v>
      </c>
      <c r="B17" s="275"/>
      <c r="C17" s="327">
        <v>1</v>
      </c>
      <c r="D17" s="275"/>
      <c r="E17" s="281" t="s">
        <v>16</v>
      </c>
      <c r="F17" s="275"/>
      <c r="G17" s="296">
        <v>217800</v>
      </c>
      <c r="H17" s="275"/>
      <c r="I17" s="317">
        <f>C17*G17</f>
        <v>217800</v>
      </c>
      <c r="J17" s="280"/>
      <c r="K17" s="98">
        <v>30</v>
      </c>
      <c r="L17" s="282">
        <v>0</v>
      </c>
      <c r="M17" s="282"/>
      <c r="N17" s="263">
        <v>0.06</v>
      </c>
      <c r="O17" s="358">
        <v>0.07265</v>
      </c>
      <c r="P17" s="347">
        <f>O17*(I17-L17)+(N17*L17)</f>
        <v>15823.170000000002</v>
      </c>
    </row>
    <row r="18" spans="1:16" ht="15">
      <c r="A18" s="283" t="s">
        <v>36</v>
      </c>
      <c r="B18" s="275"/>
      <c r="C18" s="327">
        <v>4</v>
      </c>
      <c r="D18" s="275"/>
      <c r="E18" s="281" t="s">
        <v>16</v>
      </c>
      <c r="F18" s="275"/>
      <c r="G18" s="296">
        <v>56000</v>
      </c>
      <c r="H18" s="275"/>
      <c r="I18" s="317">
        <f>C18*G18</f>
        <v>224000</v>
      </c>
      <c r="J18" s="280"/>
      <c r="K18" s="98">
        <v>30</v>
      </c>
      <c r="L18" s="282">
        <v>0</v>
      </c>
      <c r="M18" s="282"/>
      <c r="N18" s="263">
        <v>0.06</v>
      </c>
      <c r="O18" s="358">
        <v>0.07265</v>
      </c>
      <c r="P18" s="347">
        <f>O18*(I18-L18)+(N18*L18)</f>
        <v>16273.600000000002</v>
      </c>
    </row>
    <row r="19" spans="1:16" ht="15">
      <c r="A19" s="275"/>
      <c r="B19" s="275"/>
      <c r="C19" s="330"/>
      <c r="D19" s="275"/>
      <c r="E19" s="276"/>
      <c r="F19" s="275"/>
      <c r="G19" s="278"/>
      <c r="H19" s="275"/>
      <c r="I19" s="317"/>
      <c r="J19" s="280"/>
      <c r="K19" s="98"/>
      <c r="L19" s="282"/>
      <c r="M19" s="282"/>
      <c r="N19" s="263"/>
      <c r="O19" s="357"/>
      <c r="P19" s="348"/>
    </row>
    <row r="20" spans="1:16" ht="15">
      <c r="A20" s="294" t="s">
        <v>17</v>
      </c>
      <c r="B20" s="275"/>
      <c r="C20" s="330"/>
      <c r="D20" s="275"/>
      <c r="E20" s="276"/>
      <c r="F20" s="275"/>
      <c r="G20" s="278"/>
      <c r="H20" s="275"/>
      <c r="I20" s="325">
        <f>SUM(I21:I22)</f>
        <v>2137600</v>
      </c>
      <c r="J20" s="280"/>
      <c r="K20" s="98">
        <v>30</v>
      </c>
      <c r="L20" s="282">
        <v>0</v>
      </c>
      <c r="M20" s="282"/>
      <c r="N20" s="263">
        <v>0.06</v>
      </c>
      <c r="O20" s="358">
        <v>0.07265</v>
      </c>
      <c r="P20" s="347">
        <f>O20*(I20-L20)+(N20*L20)</f>
        <v>155296.64</v>
      </c>
    </row>
    <row r="21" spans="1:16" ht="15">
      <c r="A21" s="297" t="s">
        <v>160</v>
      </c>
      <c r="B21" s="275"/>
      <c r="C21" s="327">
        <v>8000</v>
      </c>
      <c r="D21" s="275"/>
      <c r="E21" s="281" t="s">
        <v>18</v>
      </c>
      <c r="F21" s="275"/>
      <c r="G21" s="296">
        <v>62</v>
      </c>
      <c r="H21" s="275"/>
      <c r="I21" s="317">
        <f>C21*G21</f>
        <v>496000</v>
      </c>
      <c r="J21" s="280"/>
      <c r="K21" s="98"/>
      <c r="L21" s="282"/>
      <c r="M21" s="282"/>
      <c r="N21" s="263"/>
      <c r="O21" s="357"/>
      <c r="P21" s="348"/>
    </row>
    <row r="22" spans="1:16" ht="15">
      <c r="A22" s="284" t="s">
        <v>34</v>
      </c>
      <c r="B22" s="275"/>
      <c r="C22" s="327">
        <v>144</v>
      </c>
      <c r="D22" s="275"/>
      <c r="E22" s="281" t="s">
        <v>19</v>
      </c>
      <c r="F22" s="275"/>
      <c r="G22" s="296">
        <v>11400</v>
      </c>
      <c r="H22" s="275"/>
      <c r="I22" s="317">
        <f>C22*G22</f>
        <v>1641600</v>
      </c>
      <c r="J22" s="280"/>
      <c r="K22" s="98"/>
      <c r="L22" s="282"/>
      <c r="M22" s="282"/>
      <c r="N22" s="263"/>
      <c r="O22" s="357"/>
      <c r="P22" s="348"/>
    </row>
    <row r="23" spans="1:16" ht="15">
      <c r="A23" s="275"/>
      <c r="B23" s="275"/>
      <c r="C23" s="330"/>
      <c r="D23" s="275"/>
      <c r="E23" s="276"/>
      <c r="F23" s="275"/>
      <c r="G23" s="278"/>
      <c r="H23" s="275"/>
      <c r="I23" s="317"/>
      <c r="J23" s="280"/>
      <c r="K23" s="98"/>
      <c r="L23" s="282"/>
      <c r="M23" s="282"/>
      <c r="N23" s="263"/>
      <c r="O23" s="357"/>
      <c r="P23" s="348"/>
    </row>
    <row r="24" spans="1:16" ht="15">
      <c r="A24" s="294" t="s">
        <v>163</v>
      </c>
      <c r="B24" s="275"/>
      <c r="C24" s="330"/>
      <c r="D24" s="275"/>
      <c r="E24" s="276"/>
      <c r="F24" s="275"/>
      <c r="G24" s="278"/>
      <c r="H24" s="275"/>
      <c r="I24" s="325">
        <f>SUM(I25:I26)</f>
        <v>3125000</v>
      </c>
      <c r="J24" s="280"/>
      <c r="K24" s="98"/>
      <c r="L24" s="282"/>
      <c r="M24" s="282"/>
      <c r="N24" s="263"/>
      <c r="O24" s="357"/>
      <c r="P24" s="348"/>
    </row>
    <row r="25" spans="1:16" ht="15">
      <c r="A25" s="284" t="s">
        <v>172</v>
      </c>
      <c r="B25" s="275"/>
      <c r="C25" s="328">
        <v>5000</v>
      </c>
      <c r="D25" s="275"/>
      <c r="E25" s="281" t="s">
        <v>46</v>
      </c>
      <c r="F25" s="275"/>
      <c r="G25" s="296">
        <v>425</v>
      </c>
      <c r="H25" s="275"/>
      <c r="I25" s="317">
        <f>C25*G25</f>
        <v>2125000</v>
      </c>
      <c r="J25" s="280"/>
      <c r="K25" s="98">
        <v>30</v>
      </c>
      <c r="L25" s="282">
        <v>0</v>
      </c>
      <c r="M25" s="282"/>
      <c r="N25" s="263">
        <v>0.06</v>
      </c>
      <c r="O25" s="358">
        <v>0.07265</v>
      </c>
      <c r="P25" s="347">
        <f>O25*(I25-L25)+(N25*L25)</f>
        <v>154381.25</v>
      </c>
    </row>
    <row r="26" spans="1:16" ht="15">
      <c r="A26" s="283" t="s">
        <v>173</v>
      </c>
      <c r="B26" s="275"/>
      <c r="C26" s="328">
        <v>200000</v>
      </c>
      <c r="D26" s="275"/>
      <c r="E26" s="281" t="s">
        <v>18</v>
      </c>
      <c r="F26" s="275"/>
      <c r="G26" s="296">
        <v>5</v>
      </c>
      <c r="H26" s="275"/>
      <c r="I26" s="317">
        <f>C26*G26</f>
        <v>1000000</v>
      </c>
      <c r="J26" s="280"/>
      <c r="K26" s="98">
        <v>30</v>
      </c>
      <c r="L26" s="282">
        <v>0</v>
      </c>
      <c r="M26" s="282"/>
      <c r="N26" s="263">
        <v>0.06</v>
      </c>
      <c r="O26" s="358">
        <v>0.07265</v>
      </c>
      <c r="P26" s="347">
        <f>O26*(I26-L26)+(N26*L26)</f>
        <v>72650</v>
      </c>
    </row>
    <row r="27" spans="1:16" ht="15">
      <c r="A27" s="275"/>
      <c r="B27" s="275"/>
      <c r="C27" s="330"/>
      <c r="D27" s="275"/>
      <c r="E27" s="276"/>
      <c r="F27" s="275"/>
      <c r="G27" s="278"/>
      <c r="H27" s="275"/>
      <c r="I27" s="317"/>
      <c r="J27" s="280"/>
      <c r="K27" s="98"/>
      <c r="L27" s="282"/>
      <c r="M27" s="282"/>
      <c r="N27" s="263"/>
      <c r="O27" s="357"/>
      <c r="P27" s="348"/>
    </row>
    <row r="28" spans="1:16" ht="15">
      <c r="A28" s="294" t="s">
        <v>20</v>
      </c>
      <c r="B28" s="275"/>
      <c r="C28" s="330"/>
      <c r="D28" s="275"/>
      <c r="E28" s="276"/>
      <c r="F28" s="275"/>
      <c r="G28" s="278"/>
      <c r="H28" s="275"/>
      <c r="I28" s="325">
        <f>SUM(I29:I30)</f>
        <v>403800</v>
      </c>
      <c r="J28" s="280"/>
      <c r="K28" s="98">
        <v>30</v>
      </c>
      <c r="L28" s="282">
        <v>0</v>
      </c>
      <c r="M28" s="282"/>
      <c r="N28" s="263">
        <v>0.06</v>
      </c>
      <c r="O28" s="358">
        <v>0.07265</v>
      </c>
      <c r="P28" s="347">
        <f>O28*(I28-L28)+(N28*L28)</f>
        <v>29336.070000000003</v>
      </c>
    </row>
    <row r="29" spans="1:16" ht="15">
      <c r="A29" s="297" t="s">
        <v>21</v>
      </c>
      <c r="B29" s="275"/>
      <c r="C29" s="327">
        <v>2100</v>
      </c>
      <c r="D29" s="275"/>
      <c r="E29" s="281" t="s">
        <v>18</v>
      </c>
      <c r="F29" s="275"/>
      <c r="G29" s="296">
        <v>62</v>
      </c>
      <c r="H29" s="275"/>
      <c r="I29" s="317">
        <f>C29*G29</f>
        <v>130200</v>
      </c>
      <c r="J29" s="280"/>
      <c r="K29" s="98"/>
      <c r="L29" s="282"/>
      <c r="M29" s="282"/>
      <c r="N29" s="263"/>
      <c r="O29" s="357"/>
      <c r="P29" s="348"/>
    </row>
    <row r="30" spans="1:16" ht="15">
      <c r="A30" s="284" t="s">
        <v>22</v>
      </c>
      <c r="B30" s="275"/>
      <c r="C30" s="327">
        <v>24</v>
      </c>
      <c r="D30" s="275"/>
      <c r="E30" s="281" t="s">
        <v>19</v>
      </c>
      <c r="F30" s="275"/>
      <c r="G30" s="296">
        <v>11400</v>
      </c>
      <c r="H30" s="275"/>
      <c r="I30" s="317">
        <f>C30*G30</f>
        <v>273600</v>
      </c>
      <c r="J30" s="280"/>
      <c r="K30" s="98"/>
      <c r="L30" s="282"/>
      <c r="M30" s="282"/>
      <c r="N30" s="263"/>
      <c r="O30" s="287"/>
      <c r="P30" s="348"/>
    </row>
    <row r="31" spans="1:16" ht="14.25">
      <c r="A31" s="275"/>
      <c r="B31" s="275"/>
      <c r="C31" s="330"/>
      <c r="D31" s="275"/>
      <c r="E31" s="276"/>
      <c r="F31" s="275"/>
      <c r="G31" s="278"/>
      <c r="H31" s="275"/>
      <c r="I31" s="317"/>
      <c r="J31" s="280"/>
      <c r="K31" s="98"/>
      <c r="L31" s="282"/>
      <c r="M31" s="282"/>
      <c r="N31" s="263"/>
      <c r="O31" s="287"/>
      <c r="P31" s="348"/>
    </row>
    <row r="32" spans="1:16" ht="14.25">
      <c r="A32" s="294" t="s">
        <v>103</v>
      </c>
      <c r="B32" s="275"/>
      <c r="C32" s="105"/>
      <c r="D32" s="275"/>
      <c r="E32" s="276"/>
      <c r="F32" s="275"/>
      <c r="G32" s="278"/>
      <c r="H32" s="275"/>
      <c r="I32" s="325">
        <f>SUM(I33:I53)</f>
        <v>1497500</v>
      </c>
      <c r="J32" s="280"/>
      <c r="K32" s="98"/>
      <c r="L32" s="282"/>
      <c r="M32" s="282"/>
      <c r="N32" s="263"/>
      <c r="O32" s="315" t="s">
        <v>88</v>
      </c>
      <c r="P32" s="350">
        <f>SUM(P33:P53)</f>
        <v>220960.2238838743</v>
      </c>
    </row>
    <row r="33" spans="1:16" ht="14.25">
      <c r="A33" s="295" t="s">
        <v>23</v>
      </c>
      <c r="B33" s="275"/>
      <c r="C33" s="327">
        <v>2</v>
      </c>
      <c r="D33" s="275"/>
      <c r="E33" s="298" t="s">
        <v>16</v>
      </c>
      <c r="F33" s="275"/>
      <c r="G33" s="296">
        <v>79100</v>
      </c>
      <c r="H33" s="275"/>
      <c r="I33" s="317">
        <f aca="true" t="shared" si="0" ref="I33:I53">C33*G33</f>
        <v>158200</v>
      </c>
      <c r="J33" s="280"/>
      <c r="K33" s="98">
        <v>10</v>
      </c>
      <c r="L33" s="282">
        <f aca="true" t="shared" si="1" ref="L33:L53">0.1*G33</f>
        <v>7910</v>
      </c>
      <c r="M33" s="282">
        <f aca="true" t="shared" si="2" ref="M33:M54">L33*C33</f>
        <v>15820</v>
      </c>
      <c r="N33" s="263">
        <v>0.06</v>
      </c>
      <c r="O33" s="287">
        <v>0.1359</v>
      </c>
      <c r="P33" s="347">
        <f>O33*(I33-L33)+(N33*L33)</f>
        <v>20899.011</v>
      </c>
    </row>
    <row r="34" spans="1:16" ht="14.25">
      <c r="A34" s="295" t="s">
        <v>161</v>
      </c>
      <c r="B34" s="275"/>
      <c r="C34" s="327">
        <v>1</v>
      </c>
      <c r="D34" s="275"/>
      <c r="E34" s="298" t="s">
        <v>16</v>
      </c>
      <c r="F34" s="275"/>
      <c r="G34" s="296">
        <v>41200</v>
      </c>
      <c r="H34" s="275"/>
      <c r="I34" s="317">
        <f t="shared" si="0"/>
        <v>41200</v>
      </c>
      <c r="J34" s="280"/>
      <c r="K34" s="98">
        <v>8</v>
      </c>
      <c r="L34" s="282">
        <f t="shared" si="1"/>
        <v>4120</v>
      </c>
      <c r="M34" s="282">
        <f t="shared" si="2"/>
        <v>4120</v>
      </c>
      <c r="N34" s="263">
        <v>0.06</v>
      </c>
      <c r="O34" s="287">
        <v>0.161</v>
      </c>
      <c r="P34" s="347">
        <f aca="true" t="shared" si="3" ref="P34:P47">O34*(I34-L34)+(N34*L34)</f>
        <v>6217.08</v>
      </c>
    </row>
    <row r="35" spans="1:16" ht="14.25">
      <c r="A35" s="295" t="s">
        <v>162</v>
      </c>
      <c r="B35" s="275"/>
      <c r="C35" s="327">
        <v>2</v>
      </c>
      <c r="D35" s="275"/>
      <c r="E35" s="298" t="s">
        <v>16</v>
      </c>
      <c r="F35" s="275"/>
      <c r="G35" s="296">
        <v>20600</v>
      </c>
      <c r="H35" s="275"/>
      <c r="I35" s="317">
        <f t="shared" si="0"/>
        <v>41200</v>
      </c>
      <c r="J35" s="280"/>
      <c r="K35" s="98">
        <v>8</v>
      </c>
      <c r="L35" s="282">
        <f t="shared" si="1"/>
        <v>2060</v>
      </c>
      <c r="M35" s="282">
        <f t="shared" si="2"/>
        <v>4120</v>
      </c>
      <c r="N35" s="263">
        <v>0.06</v>
      </c>
      <c r="O35" s="287">
        <v>0.161</v>
      </c>
      <c r="P35" s="347">
        <f t="shared" si="3"/>
        <v>6425.14</v>
      </c>
    </row>
    <row r="36" spans="1:16" ht="14.25">
      <c r="A36" s="295" t="s">
        <v>24</v>
      </c>
      <c r="B36" s="275"/>
      <c r="C36" s="327">
        <v>2</v>
      </c>
      <c r="D36" s="275"/>
      <c r="E36" s="298" t="s">
        <v>16</v>
      </c>
      <c r="F36" s="275"/>
      <c r="G36" s="296">
        <v>6300</v>
      </c>
      <c r="H36" s="275"/>
      <c r="I36" s="317">
        <f t="shared" si="0"/>
        <v>12600</v>
      </c>
      <c r="J36" s="280"/>
      <c r="K36" s="98">
        <v>8</v>
      </c>
      <c r="L36" s="282">
        <f t="shared" si="1"/>
        <v>630</v>
      </c>
      <c r="M36" s="282">
        <f t="shared" si="2"/>
        <v>1260</v>
      </c>
      <c r="N36" s="263">
        <v>0.06</v>
      </c>
      <c r="O36" s="287">
        <v>0.161</v>
      </c>
      <c r="P36" s="347">
        <f t="shared" si="3"/>
        <v>1964.97</v>
      </c>
    </row>
    <row r="37" spans="1:16" ht="14.25">
      <c r="A37" s="295" t="s">
        <v>25</v>
      </c>
      <c r="B37" s="275"/>
      <c r="C37" s="327">
        <v>2</v>
      </c>
      <c r="D37" s="275"/>
      <c r="E37" s="298" t="s">
        <v>16</v>
      </c>
      <c r="F37" s="275"/>
      <c r="G37" s="296">
        <v>61700</v>
      </c>
      <c r="H37" s="275"/>
      <c r="I37" s="317">
        <f>C37*G37</f>
        <v>123400</v>
      </c>
      <c r="J37" s="280"/>
      <c r="K37" s="98">
        <v>10</v>
      </c>
      <c r="L37" s="282">
        <f>0.1*G37</f>
        <v>6170</v>
      </c>
      <c r="M37" s="282">
        <f t="shared" si="2"/>
        <v>12340</v>
      </c>
      <c r="N37" s="263">
        <v>0.06</v>
      </c>
      <c r="O37" s="287">
        <v>0.1359</v>
      </c>
      <c r="P37" s="347">
        <f t="shared" si="3"/>
        <v>16301.757</v>
      </c>
    </row>
    <row r="38" spans="1:16" ht="14.25">
      <c r="A38" s="285" t="s">
        <v>26</v>
      </c>
      <c r="B38" s="275"/>
      <c r="C38" s="327">
        <v>1</v>
      </c>
      <c r="D38" s="275"/>
      <c r="E38" s="298" t="s">
        <v>16</v>
      </c>
      <c r="F38" s="275"/>
      <c r="G38" s="296">
        <v>99400</v>
      </c>
      <c r="H38" s="275"/>
      <c r="I38" s="317">
        <f t="shared" si="0"/>
        <v>99400</v>
      </c>
      <c r="J38" s="280"/>
      <c r="K38" s="98">
        <v>10</v>
      </c>
      <c r="L38" s="282">
        <f t="shared" si="1"/>
        <v>9940</v>
      </c>
      <c r="M38" s="282">
        <f t="shared" si="2"/>
        <v>9940</v>
      </c>
      <c r="N38" s="263">
        <v>0.06</v>
      </c>
      <c r="O38" s="287">
        <v>0.1359</v>
      </c>
      <c r="P38" s="347">
        <f t="shared" si="3"/>
        <v>12754.014</v>
      </c>
    </row>
    <row r="39" spans="1:16" ht="14.25">
      <c r="A39" s="285" t="s">
        <v>98</v>
      </c>
      <c r="B39" s="275"/>
      <c r="C39" s="327">
        <v>1</v>
      </c>
      <c r="D39" s="275"/>
      <c r="E39" s="298" t="s">
        <v>16</v>
      </c>
      <c r="F39" s="275"/>
      <c r="G39" s="296">
        <v>61700</v>
      </c>
      <c r="H39" s="275"/>
      <c r="I39" s="317">
        <f t="shared" si="0"/>
        <v>61700</v>
      </c>
      <c r="J39" s="280"/>
      <c r="K39" s="98">
        <v>20</v>
      </c>
      <c r="L39" s="282">
        <f t="shared" si="1"/>
        <v>6170</v>
      </c>
      <c r="M39" s="282">
        <f t="shared" si="2"/>
        <v>6170</v>
      </c>
      <c r="N39" s="263">
        <v>0.06</v>
      </c>
      <c r="O39" s="286">
        <v>0.0871845569768514</v>
      </c>
      <c r="P39" s="347">
        <f>O39*(I39-M39)+(N39*M39)</f>
        <v>5211.558448924558</v>
      </c>
    </row>
    <row r="40" spans="1:16" ht="14.25">
      <c r="A40" s="285" t="s">
        <v>99</v>
      </c>
      <c r="B40" s="275"/>
      <c r="C40" s="327">
        <v>1</v>
      </c>
      <c r="D40" s="275"/>
      <c r="E40" s="298" t="s">
        <v>16</v>
      </c>
      <c r="F40" s="275"/>
      <c r="G40" s="296">
        <v>46000</v>
      </c>
      <c r="H40" s="275"/>
      <c r="I40" s="317">
        <f t="shared" si="0"/>
        <v>46000</v>
      </c>
      <c r="J40" s="280"/>
      <c r="K40" s="98">
        <v>20</v>
      </c>
      <c r="L40" s="282">
        <f t="shared" si="1"/>
        <v>4600</v>
      </c>
      <c r="M40" s="282">
        <f t="shared" si="2"/>
        <v>4600</v>
      </c>
      <c r="N40" s="263">
        <v>0.06</v>
      </c>
      <c r="O40" s="286">
        <v>0.0871845569768514</v>
      </c>
      <c r="P40" s="347">
        <f>O40*(I40-M40)+(N40*M40)</f>
        <v>3885.440658841648</v>
      </c>
    </row>
    <row r="41" spans="1:16" ht="14.25">
      <c r="A41" s="285" t="s">
        <v>27</v>
      </c>
      <c r="B41" s="275"/>
      <c r="C41" s="327">
        <v>2</v>
      </c>
      <c r="D41" s="275"/>
      <c r="E41" s="298" t="s">
        <v>16</v>
      </c>
      <c r="F41" s="275"/>
      <c r="G41" s="296">
        <v>40100</v>
      </c>
      <c r="H41" s="275"/>
      <c r="I41" s="317">
        <f t="shared" si="0"/>
        <v>80200</v>
      </c>
      <c r="J41" s="280"/>
      <c r="K41" s="98">
        <v>10</v>
      </c>
      <c r="L41" s="282">
        <f t="shared" si="1"/>
        <v>4010</v>
      </c>
      <c r="M41" s="282">
        <f t="shared" si="2"/>
        <v>8020</v>
      </c>
      <c r="N41" s="263">
        <v>0.06</v>
      </c>
      <c r="O41" s="287">
        <v>0.1359</v>
      </c>
      <c r="P41" s="347">
        <f t="shared" si="3"/>
        <v>10594.821</v>
      </c>
    </row>
    <row r="42" spans="1:16" ht="14.25">
      <c r="A42" s="295" t="s">
        <v>28</v>
      </c>
      <c r="B42" s="275"/>
      <c r="C42" s="327">
        <v>1</v>
      </c>
      <c r="D42" s="275"/>
      <c r="E42" s="298" t="s">
        <v>16</v>
      </c>
      <c r="F42" s="275"/>
      <c r="G42" s="296">
        <v>156900</v>
      </c>
      <c r="H42" s="275"/>
      <c r="I42" s="317">
        <f t="shared" si="0"/>
        <v>156900</v>
      </c>
      <c r="J42" s="280"/>
      <c r="K42" s="98">
        <v>10</v>
      </c>
      <c r="L42" s="282">
        <f t="shared" si="1"/>
        <v>15690</v>
      </c>
      <c r="M42" s="282">
        <f t="shared" si="2"/>
        <v>15690</v>
      </c>
      <c r="N42" s="263">
        <v>0.06</v>
      </c>
      <c r="O42" s="287">
        <v>0.1359</v>
      </c>
      <c r="P42" s="347">
        <f t="shared" si="3"/>
        <v>20131.839</v>
      </c>
    </row>
    <row r="43" spans="1:16" ht="14.25">
      <c r="A43" s="295" t="s">
        <v>29</v>
      </c>
      <c r="B43" s="275"/>
      <c r="C43" s="327">
        <v>2</v>
      </c>
      <c r="D43" s="275"/>
      <c r="E43" s="298" t="s">
        <v>16</v>
      </c>
      <c r="F43" s="275"/>
      <c r="G43" s="296">
        <v>82600</v>
      </c>
      <c r="H43" s="275"/>
      <c r="I43" s="317">
        <f t="shared" si="0"/>
        <v>165200</v>
      </c>
      <c r="J43" s="280"/>
      <c r="K43" s="98">
        <v>8</v>
      </c>
      <c r="L43" s="282">
        <f t="shared" si="1"/>
        <v>8260</v>
      </c>
      <c r="M43" s="282">
        <f t="shared" si="2"/>
        <v>16520</v>
      </c>
      <c r="N43" s="263">
        <v>0.06</v>
      </c>
      <c r="O43" s="287">
        <v>0.161</v>
      </c>
      <c r="P43" s="347">
        <f t="shared" si="3"/>
        <v>25762.94</v>
      </c>
    </row>
    <row r="44" spans="1:16" ht="14.25">
      <c r="A44" s="295" t="s">
        <v>104</v>
      </c>
      <c r="B44" s="275"/>
      <c r="C44" s="327">
        <v>2</v>
      </c>
      <c r="D44" s="275"/>
      <c r="E44" s="298" t="s">
        <v>16</v>
      </c>
      <c r="F44" s="275"/>
      <c r="G44" s="296">
        <v>36600</v>
      </c>
      <c r="H44" s="275"/>
      <c r="I44" s="317">
        <f t="shared" si="0"/>
        <v>73200</v>
      </c>
      <c r="J44" s="280"/>
      <c r="K44" s="98">
        <v>3</v>
      </c>
      <c r="L44" s="282">
        <f t="shared" si="1"/>
        <v>3660</v>
      </c>
      <c r="M44" s="282">
        <f t="shared" si="2"/>
        <v>7320</v>
      </c>
      <c r="N44" s="263">
        <v>0.06</v>
      </c>
      <c r="O44" s="287">
        <v>0.374109812790551</v>
      </c>
      <c r="P44" s="347">
        <f>O44*(I44-M44)+(N44*M44)</f>
        <v>25085.5544666415</v>
      </c>
    </row>
    <row r="45" spans="1:16" ht="14.25">
      <c r="A45" s="295" t="s">
        <v>158</v>
      </c>
      <c r="B45" s="275"/>
      <c r="C45" s="327">
        <v>1</v>
      </c>
      <c r="D45" s="275"/>
      <c r="E45" s="298" t="s">
        <v>16</v>
      </c>
      <c r="F45" s="275"/>
      <c r="G45" s="296">
        <v>52300</v>
      </c>
      <c r="H45" s="275"/>
      <c r="I45" s="317">
        <f t="shared" si="0"/>
        <v>52300</v>
      </c>
      <c r="J45" s="280"/>
      <c r="K45" s="98">
        <v>3</v>
      </c>
      <c r="L45" s="282">
        <f t="shared" si="1"/>
        <v>5230</v>
      </c>
      <c r="M45" s="282">
        <f t="shared" si="2"/>
        <v>5230</v>
      </c>
      <c r="N45" s="263">
        <v>0.06</v>
      </c>
      <c r="O45" s="287">
        <v>0.374109812790551</v>
      </c>
      <c r="P45" s="347">
        <f>O45*(I45-M45)+(N45*M45)</f>
        <v>17923.148888051233</v>
      </c>
    </row>
    <row r="46" spans="1:16" ht="14.25">
      <c r="A46" s="295" t="s">
        <v>32</v>
      </c>
      <c r="B46" s="275"/>
      <c r="C46" s="327">
        <v>1</v>
      </c>
      <c r="D46" s="275"/>
      <c r="E46" s="298" t="s">
        <v>16</v>
      </c>
      <c r="F46" s="275"/>
      <c r="G46" s="296">
        <v>128600</v>
      </c>
      <c r="H46" s="275"/>
      <c r="I46" s="317">
        <f t="shared" si="0"/>
        <v>128600</v>
      </c>
      <c r="J46" s="280"/>
      <c r="K46" s="98">
        <v>10</v>
      </c>
      <c r="L46" s="282">
        <f t="shared" si="1"/>
        <v>12860</v>
      </c>
      <c r="M46" s="282">
        <f t="shared" si="2"/>
        <v>12860</v>
      </c>
      <c r="N46" s="263">
        <v>0.06</v>
      </c>
      <c r="O46" s="287">
        <v>0.1359</v>
      </c>
      <c r="P46" s="347">
        <f t="shared" si="3"/>
        <v>16500.665999999997</v>
      </c>
    </row>
    <row r="47" spans="1:16" ht="14.25">
      <c r="A47" s="295" t="s">
        <v>33</v>
      </c>
      <c r="B47" s="275"/>
      <c r="C47" s="327">
        <v>1</v>
      </c>
      <c r="D47" s="275"/>
      <c r="E47" s="298" t="s">
        <v>16</v>
      </c>
      <c r="F47" s="275"/>
      <c r="G47" s="296">
        <v>66900</v>
      </c>
      <c r="H47" s="275"/>
      <c r="I47" s="317">
        <f t="shared" si="0"/>
        <v>66900</v>
      </c>
      <c r="J47" s="280"/>
      <c r="K47" s="98">
        <v>8</v>
      </c>
      <c r="L47" s="282">
        <f t="shared" si="1"/>
        <v>6690</v>
      </c>
      <c r="M47" s="282">
        <f t="shared" si="2"/>
        <v>6690</v>
      </c>
      <c r="N47" s="263">
        <v>0.06</v>
      </c>
      <c r="O47" s="287">
        <v>0.161</v>
      </c>
      <c r="P47" s="347">
        <f t="shared" si="3"/>
        <v>10095.21</v>
      </c>
    </row>
    <row r="48" spans="1:16" ht="14.25">
      <c r="A48" s="295" t="s">
        <v>102</v>
      </c>
      <c r="B48" s="275"/>
      <c r="C48" s="327">
        <v>2</v>
      </c>
      <c r="D48" s="275"/>
      <c r="E48" s="298" t="s">
        <v>16</v>
      </c>
      <c r="F48" s="275"/>
      <c r="G48" s="296">
        <v>16700</v>
      </c>
      <c r="H48" s="275"/>
      <c r="I48" s="317">
        <f t="shared" si="0"/>
        <v>33400</v>
      </c>
      <c r="J48" s="280"/>
      <c r="K48" s="98">
        <v>20</v>
      </c>
      <c r="L48" s="282">
        <f t="shared" si="1"/>
        <v>1670</v>
      </c>
      <c r="M48" s="282">
        <f t="shared" si="2"/>
        <v>3340</v>
      </c>
      <c r="N48" s="263">
        <v>0.06</v>
      </c>
      <c r="O48" s="286">
        <v>0.0871845569768514</v>
      </c>
      <c r="P48" s="347">
        <f aca="true" t="shared" si="4" ref="P48:P53">O48*(I48-M48)+(N48*M48)</f>
        <v>2821.1677827241533</v>
      </c>
    </row>
    <row r="49" spans="1:16" ht="14.25">
      <c r="A49" s="295" t="s">
        <v>100</v>
      </c>
      <c r="B49" s="275"/>
      <c r="C49" s="327">
        <v>1</v>
      </c>
      <c r="D49" s="275"/>
      <c r="E49" s="298" t="s">
        <v>16</v>
      </c>
      <c r="F49" s="275"/>
      <c r="G49" s="296">
        <v>68000</v>
      </c>
      <c r="H49" s="275"/>
      <c r="I49" s="317">
        <f t="shared" si="0"/>
        <v>68000</v>
      </c>
      <c r="J49" s="280"/>
      <c r="K49" s="98">
        <v>10</v>
      </c>
      <c r="L49" s="282">
        <f t="shared" si="1"/>
        <v>6800</v>
      </c>
      <c r="M49" s="282">
        <f t="shared" si="2"/>
        <v>6800</v>
      </c>
      <c r="N49" s="263">
        <v>0.06</v>
      </c>
      <c r="O49" s="287">
        <v>0.1359</v>
      </c>
      <c r="P49" s="347">
        <f t="shared" si="4"/>
        <v>8725.08</v>
      </c>
    </row>
    <row r="50" spans="1:16" ht="14.25">
      <c r="A50" s="295" t="s">
        <v>101</v>
      </c>
      <c r="B50" s="275"/>
      <c r="C50" s="327">
        <v>1</v>
      </c>
      <c r="D50" s="275"/>
      <c r="E50" s="298" t="s">
        <v>16</v>
      </c>
      <c r="F50" s="275"/>
      <c r="G50" s="296">
        <v>50200</v>
      </c>
      <c r="H50" s="275"/>
      <c r="I50" s="317">
        <f t="shared" si="0"/>
        <v>50200</v>
      </c>
      <c r="J50" s="280"/>
      <c r="K50" s="98">
        <v>20</v>
      </c>
      <c r="L50" s="282">
        <f t="shared" si="1"/>
        <v>5020</v>
      </c>
      <c r="M50" s="282">
        <f t="shared" si="2"/>
        <v>5020</v>
      </c>
      <c r="N50" s="263">
        <v>0.06</v>
      </c>
      <c r="O50" s="286">
        <v>0.0871845569768514</v>
      </c>
      <c r="P50" s="347">
        <f t="shared" si="4"/>
        <v>4240.198284214146</v>
      </c>
    </row>
    <row r="51" spans="1:16" ht="14.25">
      <c r="A51" s="295" t="s">
        <v>156</v>
      </c>
      <c r="B51" s="275"/>
      <c r="C51" s="327">
        <v>1</v>
      </c>
      <c r="D51" s="275"/>
      <c r="E51" s="298" t="s">
        <v>16</v>
      </c>
      <c r="F51" s="275"/>
      <c r="G51" s="296">
        <v>3500</v>
      </c>
      <c r="H51" s="275"/>
      <c r="I51" s="317">
        <f t="shared" si="0"/>
        <v>3500</v>
      </c>
      <c r="J51" s="280"/>
      <c r="K51" s="98">
        <v>20</v>
      </c>
      <c r="L51" s="282">
        <f t="shared" si="1"/>
        <v>350</v>
      </c>
      <c r="M51" s="282">
        <f t="shared" si="2"/>
        <v>350</v>
      </c>
      <c r="N51" s="263">
        <v>0.06</v>
      </c>
      <c r="O51" s="286">
        <v>0.0871845569768514</v>
      </c>
      <c r="P51" s="347">
        <f t="shared" si="4"/>
        <v>295.6313544770819</v>
      </c>
    </row>
    <row r="52" spans="1:16" ht="14.25">
      <c r="A52" s="295" t="s">
        <v>157</v>
      </c>
      <c r="B52" s="275"/>
      <c r="C52" s="327">
        <v>1</v>
      </c>
      <c r="D52" s="275"/>
      <c r="E52" s="298" t="s">
        <v>16</v>
      </c>
      <c r="F52" s="275"/>
      <c r="G52" s="296">
        <v>9600</v>
      </c>
      <c r="H52" s="275"/>
      <c r="I52" s="317">
        <f t="shared" si="0"/>
        <v>9600</v>
      </c>
      <c r="J52" s="280"/>
      <c r="K52" s="98">
        <v>10</v>
      </c>
      <c r="L52" s="282">
        <f t="shared" si="1"/>
        <v>960</v>
      </c>
      <c r="M52" s="282">
        <f t="shared" si="2"/>
        <v>960</v>
      </c>
      <c r="N52" s="263">
        <v>0.06</v>
      </c>
      <c r="O52" s="287">
        <v>0.1359</v>
      </c>
      <c r="P52" s="347">
        <f t="shared" si="4"/>
        <v>1231.7759999999998</v>
      </c>
    </row>
    <row r="53" spans="1:16" ht="14.25">
      <c r="A53" s="295" t="s">
        <v>159</v>
      </c>
      <c r="B53" s="275"/>
      <c r="C53" s="327">
        <v>1</v>
      </c>
      <c r="D53" s="275"/>
      <c r="E53" s="298" t="s">
        <v>16</v>
      </c>
      <c r="F53" s="275"/>
      <c r="G53" s="296">
        <v>25800</v>
      </c>
      <c r="H53" s="275"/>
      <c r="I53" s="317">
        <f t="shared" si="0"/>
        <v>25800</v>
      </c>
      <c r="J53" s="280"/>
      <c r="K53" s="98">
        <v>8</v>
      </c>
      <c r="L53" s="282">
        <f t="shared" si="1"/>
        <v>2580</v>
      </c>
      <c r="M53" s="282">
        <f t="shared" si="2"/>
        <v>2580</v>
      </c>
      <c r="N53" s="263">
        <v>0.06</v>
      </c>
      <c r="O53" s="287">
        <v>0.161</v>
      </c>
      <c r="P53" s="347">
        <f t="shared" si="4"/>
        <v>3893.2200000000003</v>
      </c>
    </row>
    <row r="54" spans="1:16" ht="14.25">
      <c r="A54" s="295" t="s">
        <v>30</v>
      </c>
      <c r="B54" s="275"/>
      <c r="C54" s="327">
        <v>1</v>
      </c>
      <c r="D54" s="275"/>
      <c r="E54" s="298" t="s">
        <v>16</v>
      </c>
      <c r="F54" s="275"/>
      <c r="G54" s="296">
        <v>63200</v>
      </c>
      <c r="H54" s="275"/>
      <c r="I54" s="317">
        <v>60000</v>
      </c>
      <c r="J54" s="280"/>
      <c r="K54" s="98">
        <v>16</v>
      </c>
      <c r="L54" s="282">
        <v>0</v>
      </c>
      <c r="M54" s="282">
        <f t="shared" si="2"/>
        <v>0</v>
      </c>
      <c r="N54" s="263">
        <v>0.07</v>
      </c>
      <c r="O54" s="287">
        <v>0.105857647726243</v>
      </c>
      <c r="P54" s="347">
        <f>O54*(I54-L54)+(N54*L54)</f>
        <v>6351.4588635745795</v>
      </c>
    </row>
    <row r="55" spans="1:16" ht="14.25">
      <c r="A55" s="275"/>
      <c r="B55" s="275"/>
      <c r="C55" s="330"/>
      <c r="D55" s="275"/>
      <c r="E55" s="276"/>
      <c r="F55" s="275"/>
      <c r="G55" s="278"/>
      <c r="H55" s="275"/>
      <c r="I55" s="279"/>
      <c r="J55" s="280"/>
      <c r="K55" s="98"/>
      <c r="L55" s="282"/>
      <c r="M55" s="282"/>
      <c r="N55" s="263"/>
      <c r="O55" s="287"/>
      <c r="P55" s="348"/>
    </row>
    <row r="56" spans="1:16" ht="14.25">
      <c r="A56" s="346" t="s">
        <v>178</v>
      </c>
      <c r="B56" s="277"/>
      <c r="C56" s="329"/>
      <c r="D56" s="277"/>
      <c r="E56" s="288"/>
      <c r="F56" s="277"/>
      <c r="G56" s="299"/>
      <c r="H56" s="275"/>
      <c r="I56" s="325">
        <f>SUM(G57:G60)</f>
        <v>34498</v>
      </c>
      <c r="J56" s="280"/>
      <c r="K56" s="338"/>
      <c r="L56" s="321"/>
      <c r="M56" s="343"/>
      <c r="N56" s="263"/>
      <c r="O56" s="287"/>
      <c r="P56" s="347"/>
    </row>
    <row r="57" spans="1:16" ht="14.25">
      <c r="A57" s="295" t="s">
        <v>179</v>
      </c>
      <c r="B57" s="275"/>
      <c r="C57" s="327">
        <v>1</v>
      </c>
      <c r="D57" s="275"/>
      <c r="E57" s="298" t="s">
        <v>16</v>
      </c>
      <c r="F57" s="275"/>
      <c r="G57" s="296">
        <v>27362</v>
      </c>
      <c r="H57" s="275"/>
      <c r="I57" s="317">
        <f>C57*G57</f>
        <v>27362</v>
      </c>
      <c r="J57" s="280"/>
      <c r="K57" s="337"/>
      <c r="L57" s="282"/>
      <c r="M57" s="342"/>
      <c r="N57" s="263"/>
      <c r="O57" s="287"/>
      <c r="P57" s="347"/>
    </row>
    <row r="58" spans="1:16" ht="14.25">
      <c r="A58" s="295" t="s">
        <v>180</v>
      </c>
      <c r="B58" s="275"/>
      <c r="C58" s="327">
        <v>1</v>
      </c>
      <c r="D58" s="275"/>
      <c r="E58" s="298" t="s">
        <v>16</v>
      </c>
      <c r="F58" s="275"/>
      <c r="G58" s="345">
        <v>5990</v>
      </c>
      <c r="H58" s="275"/>
      <c r="I58" s="317">
        <f>C58*G58</f>
        <v>5990</v>
      </c>
      <c r="J58" s="280"/>
      <c r="K58" s="337"/>
      <c r="L58" s="282"/>
      <c r="M58" s="342"/>
      <c r="N58" s="263"/>
      <c r="O58" s="287"/>
      <c r="P58" s="347"/>
    </row>
    <row r="59" spans="1:16" ht="14.25">
      <c r="A59" s="295" t="s">
        <v>181</v>
      </c>
      <c r="B59" s="275"/>
      <c r="C59" s="327">
        <v>1</v>
      </c>
      <c r="D59" s="275"/>
      <c r="E59" s="298" t="s">
        <v>16</v>
      </c>
      <c r="F59" s="275"/>
      <c r="G59" s="296">
        <v>1146</v>
      </c>
      <c r="H59" s="275"/>
      <c r="I59" s="317">
        <f>C59*G59</f>
        <v>1146</v>
      </c>
      <c r="J59" s="280"/>
      <c r="K59" s="337"/>
      <c r="L59" s="282"/>
      <c r="M59" s="342"/>
      <c r="N59" s="263"/>
      <c r="O59" s="287"/>
      <c r="P59" s="347"/>
    </row>
    <row r="60" spans="1:16" ht="14.25">
      <c r="A60" s="275"/>
      <c r="B60" s="275"/>
      <c r="C60" s="330"/>
      <c r="D60" s="275"/>
      <c r="E60" s="276"/>
      <c r="F60" s="275"/>
      <c r="G60" s="278"/>
      <c r="H60" s="275"/>
      <c r="I60" s="279"/>
      <c r="J60" s="280"/>
      <c r="K60" s="98"/>
      <c r="L60" s="282"/>
      <c r="M60" s="282"/>
      <c r="N60" s="263"/>
      <c r="O60" s="287"/>
      <c r="P60" s="348"/>
    </row>
    <row r="61" spans="1:16" ht="14.25">
      <c r="A61" s="275" t="s">
        <v>186</v>
      </c>
      <c r="B61" s="275"/>
      <c r="C61" s="330"/>
      <c r="D61" s="275"/>
      <c r="E61" s="276"/>
      <c r="F61" s="275"/>
      <c r="G61" s="275"/>
      <c r="H61" s="275"/>
      <c r="I61" s="317">
        <f>SUM(I8:I59)-(I8+I11+I15+I20+I24+I28+I32+I56)</f>
        <v>21025598</v>
      </c>
      <c r="J61" s="280"/>
      <c r="K61" s="39"/>
      <c r="L61" s="213">
        <f>SUM(L8:L60)</f>
        <v>116535</v>
      </c>
      <c r="M61" s="344"/>
      <c r="N61" s="263"/>
      <c r="O61" s="287"/>
      <c r="P61" s="348"/>
    </row>
    <row r="62" spans="1:16" ht="14.25">
      <c r="A62" s="275" t="s">
        <v>200</v>
      </c>
      <c r="B62" s="275"/>
      <c r="C62" s="330"/>
      <c r="D62" s="275"/>
      <c r="E62" s="276"/>
      <c r="F62" s="275"/>
      <c r="G62" s="275"/>
      <c r="H62" s="275"/>
      <c r="I62" s="317">
        <f>I61/$C$9</f>
        <v>4205.1196</v>
      </c>
      <c r="J62" s="280"/>
      <c r="K62" s="98"/>
      <c r="L62" s="282">
        <f>L61/$C$9</f>
        <v>23.307</v>
      </c>
      <c r="M62" s="326"/>
      <c r="N62" s="263"/>
      <c r="O62" s="287"/>
      <c r="P62" s="348"/>
    </row>
    <row r="63" spans="1:16" ht="14.25">
      <c r="A63" s="275"/>
      <c r="B63" s="275"/>
      <c r="C63" s="330"/>
      <c r="D63" s="275"/>
      <c r="E63" s="276"/>
      <c r="F63" s="275"/>
      <c r="G63" s="278"/>
      <c r="H63" s="275"/>
      <c r="I63" s="279"/>
      <c r="J63" s="280"/>
      <c r="K63" s="98"/>
      <c r="L63" s="282"/>
      <c r="M63" s="282"/>
      <c r="N63" s="263"/>
      <c r="O63" s="287"/>
      <c r="P63" s="348"/>
    </row>
    <row r="64" spans="1:16" ht="14.25">
      <c r="A64" s="275" t="s">
        <v>185</v>
      </c>
      <c r="B64" s="277"/>
      <c r="C64" s="109"/>
      <c r="D64" s="277"/>
      <c r="E64" s="288"/>
      <c r="F64" s="277"/>
      <c r="G64" s="110"/>
      <c r="H64" s="275"/>
      <c r="I64" s="103">
        <f>AVERAGE(I61,L61)</f>
        <v>10571066.5</v>
      </c>
      <c r="J64" s="280"/>
      <c r="K64" s="98"/>
      <c r="L64" s="282"/>
      <c r="M64" s="282"/>
      <c r="N64" s="263"/>
      <c r="O64" s="287"/>
      <c r="P64" s="348"/>
    </row>
    <row r="65" spans="1:16" ht="14.25">
      <c r="A65" s="275" t="s">
        <v>187</v>
      </c>
      <c r="B65" s="277"/>
      <c r="C65" s="109"/>
      <c r="D65" s="277"/>
      <c r="E65" s="288"/>
      <c r="F65" s="277"/>
      <c r="G65" s="110"/>
      <c r="H65" s="275"/>
      <c r="I65" s="317">
        <f>I64/TotalCows</f>
        <v>2114.2133</v>
      </c>
      <c r="J65" s="280"/>
      <c r="K65" s="98"/>
      <c r="L65" s="282"/>
      <c r="M65" s="282"/>
      <c r="N65" s="263"/>
      <c r="O65" s="287"/>
      <c r="P65" s="348"/>
    </row>
    <row r="66" spans="1:16" ht="14.25">
      <c r="A66" s="275"/>
      <c r="B66" s="275"/>
      <c r="C66" s="330"/>
      <c r="D66" s="275"/>
      <c r="E66" s="276"/>
      <c r="F66" s="275"/>
      <c r="G66" s="278"/>
      <c r="H66" s="275"/>
      <c r="I66" s="279"/>
      <c r="J66" s="280"/>
      <c r="K66" s="98"/>
      <c r="L66" s="282"/>
      <c r="M66" s="282"/>
      <c r="N66" s="263"/>
      <c r="O66" s="287"/>
      <c r="P66" s="347"/>
    </row>
    <row r="67" spans="1:16" ht="14.25">
      <c r="A67" s="275" t="s">
        <v>93</v>
      </c>
      <c r="B67" s="275"/>
      <c r="C67" s="330"/>
      <c r="D67" s="275"/>
      <c r="E67" s="276"/>
      <c r="F67" s="275"/>
      <c r="G67" s="275"/>
      <c r="H67" s="275"/>
      <c r="I67" s="317">
        <f>P67</f>
        <v>2432105.9727474507</v>
      </c>
      <c r="J67" s="280"/>
      <c r="K67" s="39"/>
      <c r="L67" s="213"/>
      <c r="M67" s="213"/>
      <c r="N67" s="263"/>
      <c r="O67" s="287"/>
      <c r="P67" s="347">
        <f>SUM($P$8:$P$62)-$P$32</f>
        <v>2432105.9727474507</v>
      </c>
    </row>
    <row r="68" spans="1:16" ht="14.25">
      <c r="A68" s="275" t="s">
        <v>188</v>
      </c>
      <c r="B68" s="275"/>
      <c r="C68" s="330"/>
      <c r="D68" s="275"/>
      <c r="E68" s="276"/>
      <c r="F68" s="275"/>
      <c r="G68" s="275"/>
      <c r="H68" s="275"/>
      <c r="I68" s="317">
        <f>P68</f>
        <v>486.42119454949017</v>
      </c>
      <c r="J68" s="280"/>
      <c r="K68" s="111"/>
      <c r="L68" s="316"/>
      <c r="M68" s="316"/>
      <c r="N68" s="264"/>
      <c r="O68" s="339"/>
      <c r="P68" s="347">
        <f>P67/TotalCows</f>
        <v>486.42119454949017</v>
      </c>
    </row>
    <row r="69" spans="1:16" ht="14.25">
      <c r="A69" s="289"/>
      <c r="B69" s="289"/>
      <c r="C69" s="86"/>
      <c r="D69" s="289"/>
      <c r="E69" s="290"/>
      <c r="F69" s="289"/>
      <c r="G69" s="289"/>
      <c r="H69" s="289"/>
      <c r="I69" s="291"/>
      <c r="J69" s="292"/>
      <c r="K69" s="112"/>
      <c r="L69" s="322"/>
      <c r="M69" s="322"/>
      <c r="N69" s="265"/>
      <c r="O69" s="340"/>
      <c r="P69" s="322"/>
    </row>
    <row r="70" spans="1:16" ht="14.25">
      <c r="A70" s="363" t="s">
        <v>198</v>
      </c>
      <c r="B70" s="269"/>
      <c r="C70" s="267"/>
      <c r="D70" s="269"/>
      <c r="E70" s="270"/>
      <c r="F70" s="269"/>
      <c r="G70" s="269"/>
      <c r="H70" s="269"/>
      <c r="I70" s="269"/>
      <c r="J70" s="269"/>
      <c r="K70" s="185"/>
      <c r="L70" s="238"/>
      <c r="M70" s="238"/>
      <c r="N70" s="272"/>
      <c r="O70" s="341"/>
      <c r="P70" s="269"/>
    </row>
    <row r="71" spans="1:16" ht="14.25">
      <c r="A71" s="366" t="s">
        <v>199</v>
      </c>
      <c r="B71" s="269"/>
      <c r="C71" s="267"/>
      <c r="D71" s="269"/>
      <c r="E71" s="270"/>
      <c r="F71" s="269"/>
      <c r="G71" s="269"/>
      <c r="H71" s="269"/>
      <c r="I71" s="269"/>
      <c r="J71" s="269"/>
      <c r="K71" s="185"/>
      <c r="L71" s="238"/>
      <c r="M71" s="238"/>
      <c r="N71" s="272"/>
      <c r="O71" s="341"/>
      <c r="P71" s="269"/>
    </row>
    <row r="72" spans="1:16" ht="14.25">
      <c r="A72" s="269"/>
      <c r="B72" s="269"/>
      <c r="C72" s="267"/>
      <c r="D72" s="269"/>
      <c r="E72" s="270"/>
      <c r="F72" s="269"/>
      <c r="G72" s="269"/>
      <c r="H72" s="269"/>
      <c r="I72" s="269"/>
      <c r="J72" s="269"/>
      <c r="K72" s="185"/>
      <c r="L72" s="238"/>
      <c r="M72" s="238"/>
      <c r="N72" s="272"/>
      <c r="O72" s="341"/>
      <c r="P72" s="269"/>
    </row>
    <row r="73" spans="1:16" ht="14.25">
      <c r="A73" s="261"/>
      <c r="B73" s="261"/>
      <c r="C73" s="267"/>
      <c r="D73" s="261"/>
      <c r="E73" s="268"/>
      <c r="F73" s="261"/>
      <c r="G73" s="261"/>
      <c r="H73" s="261"/>
      <c r="I73" s="261"/>
      <c r="J73" s="261"/>
      <c r="K73" s="271"/>
      <c r="L73" s="239"/>
      <c r="M73" s="239"/>
      <c r="N73" s="272"/>
      <c r="O73" s="335"/>
      <c r="P73" s="261"/>
    </row>
    <row r="74" spans="1:16" ht="14.25">
      <c r="A74" s="261"/>
      <c r="B74" s="261"/>
      <c r="C74" s="267"/>
      <c r="D74" s="261"/>
      <c r="E74" s="268"/>
      <c r="F74" s="261"/>
      <c r="G74" s="261"/>
      <c r="H74" s="261"/>
      <c r="I74" s="261"/>
      <c r="J74" s="261"/>
      <c r="K74" s="271"/>
      <c r="L74" s="239"/>
      <c r="M74" s="239"/>
      <c r="N74" s="272"/>
      <c r="O74" s="335"/>
      <c r="P74" s="261"/>
    </row>
    <row r="75" spans="1:16" ht="14.25">
      <c r="A75" s="261"/>
      <c r="B75" s="261"/>
      <c r="C75" s="267"/>
      <c r="D75" s="261"/>
      <c r="E75" s="268"/>
      <c r="F75" s="261"/>
      <c r="G75" s="261"/>
      <c r="H75" s="261"/>
      <c r="I75" s="261"/>
      <c r="J75" s="261"/>
      <c r="K75" s="271"/>
      <c r="L75" s="239"/>
      <c r="M75" s="239"/>
      <c r="N75" s="272"/>
      <c r="O75" s="335"/>
      <c r="P75" s="261"/>
    </row>
    <row r="76" spans="1:16" ht="14.25">
      <c r="A76" s="261"/>
      <c r="B76" s="261"/>
      <c r="C76" s="267"/>
      <c r="D76" s="261"/>
      <c r="E76" s="268"/>
      <c r="F76" s="261"/>
      <c r="G76" s="261"/>
      <c r="H76" s="261"/>
      <c r="I76" s="261"/>
      <c r="J76" s="261"/>
      <c r="K76" s="271"/>
      <c r="L76" s="239"/>
      <c r="M76" s="239"/>
      <c r="N76" s="272"/>
      <c r="O76" s="335"/>
      <c r="P76" s="261"/>
    </row>
    <row r="77" spans="1:16" ht="14.25">
      <c r="A77" s="261"/>
      <c r="B77" s="261"/>
      <c r="C77" s="267"/>
      <c r="D77" s="261"/>
      <c r="E77" s="268"/>
      <c r="F77" s="261"/>
      <c r="G77" s="261"/>
      <c r="H77" s="261"/>
      <c r="I77" s="261"/>
      <c r="J77" s="261"/>
      <c r="K77" s="271"/>
      <c r="L77" s="239"/>
      <c r="M77" s="239"/>
      <c r="N77" s="272"/>
      <c r="O77" s="335"/>
      <c r="P77" s="261"/>
    </row>
    <row r="78" spans="1:16" ht="14.25">
      <c r="A78" s="261"/>
      <c r="B78" s="261"/>
      <c r="C78" s="267"/>
      <c r="D78" s="261"/>
      <c r="E78" s="268"/>
      <c r="F78" s="261"/>
      <c r="G78" s="261"/>
      <c r="H78" s="261"/>
      <c r="I78" s="261"/>
      <c r="J78" s="261"/>
      <c r="K78" s="271"/>
      <c r="L78" s="239"/>
      <c r="M78" s="239"/>
      <c r="N78" s="272"/>
      <c r="O78" s="335"/>
      <c r="P78" s="261"/>
    </row>
    <row r="79" spans="3:13" ht="14.25">
      <c r="C79" s="260"/>
      <c r="K79" s="266"/>
      <c r="L79" s="240"/>
      <c r="M79" s="240"/>
    </row>
    <row r="80" spans="1:16" ht="14.25">
      <c r="A80" s="261"/>
      <c r="B80" s="261"/>
      <c r="C80" s="267"/>
      <c r="D80" s="261"/>
      <c r="E80" s="268"/>
      <c r="F80" s="261"/>
      <c r="G80" s="261"/>
      <c r="H80" s="261"/>
      <c r="I80" s="261"/>
      <c r="J80" s="261"/>
      <c r="K80" s="271"/>
      <c r="L80" s="239"/>
      <c r="M80" s="239"/>
      <c r="N80" s="272"/>
      <c r="O80" s="335"/>
      <c r="P80" s="261"/>
    </row>
    <row r="81" spans="1:16" ht="14.25">
      <c r="A81" s="261"/>
      <c r="B81" s="261"/>
      <c r="C81" s="267"/>
      <c r="D81" s="261"/>
      <c r="E81" s="268"/>
      <c r="F81" s="261"/>
      <c r="G81" s="261"/>
      <c r="H81" s="261"/>
      <c r="I81" s="261"/>
      <c r="J81" s="261"/>
      <c r="K81" s="271"/>
      <c r="L81" s="239"/>
      <c r="M81" s="239"/>
      <c r="N81" s="272"/>
      <c r="O81" s="335"/>
      <c r="P81" s="261"/>
    </row>
    <row r="82" spans="1:16" ht="14.25">
      <c r="A82" s="261"/>
      <c r="B82" s="261"/>
      <c r="C82" s="267"/>
      <c r="D82" s="261"/>
      <c r="E82" s="268"/>
      <c r="F82" s="261"/>
      <c r="G82" s="261"/>
      <c r="H82" s="261"/>
      <c r="I82" s="261"/>
      <c r="J82" s="261"/>
      <c r="K82" s="271"/>
      <c r="L82" s="239"/>
      <c r="M82" s="239"/>
      <c r="N82" s="272"/>
      <c r="O82" s="335"/>
      <c r="P82" s="261"/>
    </row>
    <row r="83" spans="1:16" ht="14.25">
      <c r="A83" s="261"/>
      <c r="B83" s="261"/>
      <c r="C83" s="267"/>
      <c r="D83" s="261"/>
      <c r="E83" s="268"/>
      <c r="F83" s="261"/>
      <c r="G83" s="261"/>
      <c r="H83" s="261"/>
      <c r="I83" s="261"/>
      <c r="J83" s="261"/>
      <c r="K83" s="271"/>
      <c r="L83" s="239"/>
      <c r="M83" s="239"/>
      <c r="N83" s="272"/>
      <c r="O83" s="335"/>
      <c r="P83" s="261"/>
    </row>
    <row r="84" spans="1:16" ht="14.25">
      <c r="A84" s="261"/>
      <c r="B84" s="261"/>
      <c r="C84" s="267"/>
      <c r="D84" s="261"/>
      <c r="E84" s="268"/>
      <c r="F84" s="261"/>
      <c r="G84" s="261"/>
      <c r="H84" s="261"/>
      <c r="I84" s="261"/>
      <c r="J84" s="261"/>
      <c r="K84" s="271"/>
      <c r="L84" s="239"/>
      <c r="M84" s="239"/>
      <c r="N84" s="272"/>
      <c r="O84" s="335"/>
      <c r="P84" s="261"/>
    </row>
    <row r="85" spans="1:16" ht="14.25">
      <c r="A85" s="261"/>
      <c r="B85" s="261"/>
      <c r="C85" s="267"/>
      <c r="D85" s="261"/>
      <c r="E85" s="268"/>
      <c r="F85" s="261"/>
      <c r="G85" s="261"/>
      <c r="H85" s="261"/>
      <c r="I85" s="261"/>
      <c r="J85" s="261"/>
      <c r="K85" s="271"/>
      <c r="L85" s="239"/>
      <c r="M85" s="239"/>
      <c r="N85" s="272"/>
      <c r="O85" s="335"/>
      <c r="P85" s="261"/>
    </row>
    <row r="86" spans="1:16" ht="14.25">
      <c r="A86" s="261"/>
      <c r="B86" s="261"/>
      <c r="C86" s="267"/>
      <c r="D86" s="261"/>
      <c r="E86" s="268"/>
      <c r="F86" s="261"/>
      <c r="G86" s="261"/>
      <c r="H86" s="261"/>
      <c r="I86" s="261"/>
      <c r="J86" s="261"/>
      <c r="K86" s="271"/>
      <c r="L86" s="239"/>
      <c r="M86" s="239"/>
      <c r="N86" s="272"/>
      <c r="O86" s="335"/>
      <c r="P86" s="261"/>
    </row>
    <row r="87" spans="1:16" ht="14.25">
      <c r="A87" s="261"/>
      <c r="B87" s="261"/>
      <c r="C87" s="267"/>
      <c r="D87" s="261"/>
      <c r="E87" s="268"/>
      <c r="F87" s="261"/>
      <c r="G87" s="261"/>
      <c r="H87" s="261"/>
      <c r="I87" s="261"/>
      <c r="J87" s="261"/>
      <c r="K87" s="271"/>
      <c r="L87" s="239"/>
      <c r="M87" s="239"/>
      <c r="N87" s="272"/>
      <c r="O87" s="335"/>
      <c r="P87" s="261"/>
    </row>
    <row r="88" spans="1:16" ht="14.25">
      <c r="A88" s="261"/>
      <c r="B88" s="261"/>
      <c r="C88" s="267"/>
      <c r="D88" s="261"/>
      <c r="E88" s="268"/>
      <c r="F88" s="261"/>
      <c r="G88" s="261"/>
      <c r="H88" s="261"/>
      <c r="I88" s="261"/>
      <c r="J88" s="261"/>
      <c r="K88" s="271"/>
      <c r="L88" s="239"/>
      <c r="M88" s="239"/>
      <c r="N88" s="272"/>
      <c r="O88" s="335"/>
      <c r="P88" s="261"/>
    </row>
    <row r="89" spans="1:16" ht="14.25">
      <c r="A89" s="261"/>
      <c r="B89" s="261"/>
      <c r="C89" s="267"/>
      <c r="D89" s="261"/>
      <c r="E89" s="268"/>
      <c r="F89" s="261"/>
      <c r="G89" s="261"/>
      <c r="H89" s="261"/>
      <c r="I89" s="261"/>
      <c r="J89" s="261"/>
      <c r="K89" s="271"/>
      <c r="L89" s="239"/>
      <c r="M89" s="239"/>
      <c r="N89" s="272"/>
      <c r="O89" s="335"/>
      <c r="P89" s="261"/>
    </row>
    <row r="90" spans="1:16" ht="14.25">
      <c r="A90" s="261"/>
      <c r="B90" s="261"/>
      <c r="C90" s="267"/>
      <c r="D90" s="261"/>
      <c r="E90" s="268"/>
      <c r="F90" s="261"/>
      <c r="G90" s="261"/>
      <c r="H90" s="261"/>
      <c r="I90" s="261"/>
      <c r="J90" s="261"/>
      <c r="K90" s="271"/>
      <c r="L90" s="239"/>
      <c r="M90" s="239"/>
      <c r="N90" s="272"/>
      <c r="O90" s="335"/>
      <c r="P90" s="261"/>
    </row>
    <row r="91" spans="1:16" ht="14.25">
      <c r="A91" s="261"/>
      <c r="B91" s="261"/>
      <c r="C91" s="267"/>
      <c r="D91" s="261"/>
      <c r="E91" s="268"/>
      <c r="F91" s="261"/>
      <c r="G91" s="261"/>
      <c r="H91" s="261"/>
      <c r="I91" s="261"/>
      <c r="J91" s="261"/>
      <c r="K91" s="271"/>
      <c r="L91" s="239"/>
      <c r="M91" s="239"/>
      <c r="N91" s="272"/>
      <c r="O91" s="335"/>
      <c r="P91" s="261"/>
    </row>
    <row r="92" spans="1:16" ht="14.25">
      <c r="A92" s="261"/>
      <c r="B92" s="261"/>
      <c r="C92" s="267"/>
      <c r="D92" s="261"/>
      <c r="E92" s="268"/>
      <c r="F92" s="261"/>
      <c r="G92" s="261"/>
      <c r="H92" s="261"/>
      <c r="I92" s="261"/>
      <c r="J92" s="261"/>
      <c r="K92" s="271"/>
      <c r="L92" s="239"/>
      <c r="M92" s="239"/>
      <c r="N92" s="272"/>
      <c r="O92" s="335"/>
      <c r="P92" s="261"/>
    </row>
    <row r="93" spans="1:16" ht="14.25">
      <c r="A93" s="261"/>
      <c r="B93" s="261"/>
      <c r="C93" s="267"/>
      <c r="D93" s="261"/>
      <c r="E93" s="268"/>
      <c r="F93" s="261"/>
      <c r="G93" s="261"/>
      <c r="H93" s="261"/>
      <c r="I93" s="261"/>
      <c r="J93" s="261"/>
      <c r="K93" s="271"/>
      <c r="L93" s="239"/>
      <c r="M93" s="239"/>
      <c r="N93" s="272"/>
      <c r="O93" s="335"/>
      <c r="P93" s="261"/>
    </row>
    <row r="94" spans="1:16" ht="14.25">
      <c r="A94" s="261"/>
      <c r="B94" s="261"/>
      <c r="C94" s="267"/>
      <c r="D94" s="261"/>
      <c r="E94" s="268"/>
      <c r="F94" s="261"/>
      <c r="G94" s="261"/>
      <c r="H94" s="261"/>
      <c r="I94" s="261"/>
      <c r="J94" s="261"/>
      <c r="K94" s="271"/>
      <c r="L94" s="239"/>
      <c r="M94" s="239"/>
      <c r="N94" s="272"/>
      <c r="O94" s="335"/>
      <c r="P94" s="261"/>
    </row>
    <row r="95" spans="1:16" ht="14.25">
      <c r="A95" s="261"/>
      <c r="B95" s="261"/>
      <c r="C95" s="267"/>
      <c r="D95" s="261"/>
      <c r="E95" s="268"/>
      <c r="F95" s="261"/>
      <c r="G95" s="261"/>
      <c r="H95" s="261"/>
      <c r="I95" s="261"/>
      <c r="J95" s="261"/>
      <c r="K95" s="271"/>
      <c r="L95" s="239"/>
      <c r="M95" s="239"/>
      <c r="N95" s="272"/>
      <c r="O95" s="335"/>
      <c r="P95" s="261"/>
    </row>
    <row r="96" spans="1:16" ht="14.25">
      <c r="A96" s="261"/>
      <c r="B96" s="261"/>
      <c r="C96" s="267"/>
      <c r="D96" s="261"/>
      <c r="E96" s="268"/>
      <c r="F96" s="261"/>
      <c r="G96" s="261"/>
      <c r="H96" s="261"/>
      <c r="I96" s="261"/>
      <c r="J96" s="261"/>
      <c r="K96" s="271"/>
      <c r="L96" s="239"/>
      <c r="M96" s="239"/>
      <c r="N96" s="272"/>
      <c r="O96" s="335"/>
      <c r="P96" s="261"/>
    </row>
    <row r="97" spans="1:16" ht="14.25">
      <c r="A97" s="261"/>
      <c r="B97" s="261"/>
      <c r="C97" s="267"/>
      <c r="D97" s="261"/>
      <c r="E97" s="268"/>
      <c r="F97" s="261"/>
      <c r="G97" s="261"/>
      <c r="H97" s="261"/>
      <c r="I97" s="261"/>
      <c r="J97" s="261"/>
      <c r="K97" s="271"/>
      <c r="L97" s="239"/>
      <c r="M97" s="239"/>
      <c r="N97" s="272"/>
      <c r="O97" s="335"/>
      <c r="P97" s="261"/>
    </row>
    <row r="98" spans="1:16" ht="14.25">
      <c r="A98" s="261"/>
      <c r="B98" s="261"/>
      <c r="C98" s="267"/>
      <c r="D98" s="261"/>
      <c r="E98" s="268"/>
      <c r="F98" s="261"/>
      <c r="G98" s="261"/>
      <c r="H98" s="261"/>
      <c r="I98" s="261"/>
      <c r="J98" s="261"/>
      <c r="K98" s="271"/>
      <c r="L98" s="239"/>
      <c r="M98" s="239"/>
      <c r="N98" s="272"/>
      <c r="O98" s="335"/>
      <c r="P98" s="261"/>
    </row>
    <row r="99" spans="1:16" ht="14.25">
      <c r="A99" s="261"/>
      <c r="B99" s="261"/>
      <c r="C99" s="267"/>
      <c r="D99" s="261"/>
      <c r="E99" s="268"/>
      <c r="F99" s="261"/>
      <c r="G99" s="261"/>
      <c r="H99" s="261"/>
      <c r="I99" s="261"/>
      <c r="J99" s="261"/>
      <c r="K99" s="271"/>
      <c r="L99" s="239"/>
      <c r="M99" s="239"/>
      <c r="N99" s="272"/>
      <c r="O99" s="335"/>
      <c r="P99" s="261"/>
    </row>
    <row r="100" spans="1:16" ht="14.25">
      <c r="A100" s="261"/>
      <c r="B100" s="261"/>
      <c r="C100" s="267"/>
      <c r="D100" s="261"/>
      <c r="E100" s="268"/>
      <c r="F100" s="261"/>
      <c r="G100" s="261"/>
      <c r="H100" s="261"/>
      <c r="I100" s="261"/>
      <c r="J100" s="261"/>
      <c r="K100" s="271"/>
      <c r="L100" s="239"/>
      <c r="M100" s="239"/>
      <c r="N100" s="272"/>
      <c r="O100" s="335"/>
      <c r="P100" s="261"/>
    </row>
    <row r="101" spans="1:16" ht="14.25">
      <c r="A101" s="261"/>
      <c r="B101" s="261"/>
      <c r="C101" s="267"/>
      <c r="D101" s="261"/>
      <c r="E101" s="268"/>
      <c r="F101" s="261"/>
      <c r="G101" s="261"/>
      <c r="H101" s="261"/>
      <c r="I101" s="261"/>
      <c r="J101" s="261"/>
      <c r="K101" s="271"/>
      <c r="L101" s="239"/>
      <c r="M101" s="239"/>
      <c r="N101" s="272"/>
      <c r="O101" s="335"/>
      <c r="P101" s="261"/>
    </row>
    <row r="102" spans="1:16" ht="14.25">
      <c r="A102" s="261"/>
      <c r="B102" s="261"/>
      <c r="C102" s="267"/>
      <c r="D102" s="261"/>
      <c r="E102" s="268"/>
      <c r="F102" s="261"/>
      <c r="G102" s="261"/>
      <c r="H102" s="261"/>
      <c r="I102" s="261"/>
      <c r="J102" s="261"/>
      <c r="K102" s="271"/>
      <c r="L102" s="239"/>
      <c r="M102" s="239"/>
      <c r="N102" s="272"/>
      <c r="O102" s="335"/>
      <c r="P102" s="261"/>
    </row>
    <row r="103" spans="1:16" ht="14.25">
      <c r="A103" s="261"/>
      <c r="B103" s="261"/>
      <c r="C103" s="267"/>
      <c r="D103" s="261"/>
      <c r="E103" s="268"/>
      <c r="F103" s="261"/>
      <c r="G103" s="261"/>
      <c r="H103" s="261"/>
      <c r="I103" s="261"/>
      <c r="J103" s="261"/>
      <c r="K103" s="271"/>
      <c r="L103" s="239"/>
      <c r="M103" s="239"/>
      <c r="N103" s="272"/>
      <c r="O103" s="335"/>
      <c r="P103" s="261"/>
    </row>
    <row r="104" spans="1:16" ht="14.25">
      <c r="A104" s="261"/>
      <c r="B104" s="261"/>
      <c r="C104" s="267"/>
      <c r="D104" s="261"/>
      <c r="E104" s="268"/>
      <c r="F104" s="261"/>
      <c r="G104" s="261"/>
      <c r="H104" s="261"/>
      <c r="I104" s="261"/>
      <c r="J104" s="261"/>
      <c r="K104" s="271"/>
      <c r="L104" s="239"/>
      <c r="M104" s="239"/>
      <c r="N104" s="272"/>
      <c r="O104" s="335"/>
      <c r="P104" s="261"/>
    </row>
    <row r="105" spans="1:16" ht="14.25">
      <c r="A105" s="261"/>
      <c r="B105" s="261"/>
      <c r="C105" s="267"/>
      <c r="D105" s="261"/>
      <c r="E105" s="268"/>
      <c r="F105" s="261"/>
      <c r="G105" s="261"/>
      <c r="H105" s="261"/>
      <c r="I105" s="261"/>
      <c r="J105" s="261"/>
      <c r="K105" s="271"/>
      <c r="L105" s="239"/>
      <c r="M105" s="239"/>
      <c r="N105" s="272"/>
      <c r="O105" s="335"/>
      <c r="P105" s="261"/>
    </row>
    <row r="106" spans="1:16" ht="14.25">
      <c r="A106" s="261"/>
      <c r="B106" s="261"/>
      <c r="C106" s="267"/>
      <c r="D106" s="261"/>
      <c r="E106" s="268"/>
      <c r="F106" s="261"/>
      <c r="G106" s="261"/>
      <c r="H106" s="261"/>
      <c r="I106" s="261"/>
      <c r="J106" s="261"/>
      <c r="K106" s="271"/>
      <c r="L106" s="239"/>
      <c r="M106" s="239"/>
      <c r="N106" s="272"/>
      <c r="O106" s="335"/>
      <c r="P106" s="261"/>
    </row>
    <row r="107" spans="1:16" ht="14.25">
      <c r="A107" s="261"/>
      <c r="B107" s="261"/>
      <c r="C107" s="267"/>
      <c r="D107" s="261"/>
      <c r="E107" s="268"/>
      <c r="F107" s="261"/>
      <c r="G107" s="261"/>
      <c r="H107" s="261"/>
      <c r="I107" s="261"/>
      <c r="J107" s="261"/>
      <c r="K107" s="271"/>
      <c r="L107" s="239"/>
      <c r="M107" s="239"/>
      <c r="N107" s="272"/>
      <c r="O107" s="335"/>
      <c r="P107" s="261"/>
    </row>
    <row r="108" spans="1:16" ht="14.25">
      <c r="A108" s="261"/>
      <c r="B108" s="261"/>
      <c r="C108" s="267"/>
      <c r="D108" s="261"/>
      <c r="E108" s="268"/>
      <c r="F108" s="261"/>
      <c r="G108" s="261"/>
      <c r="H108" s="261"/>
      <c r="I108" s="261"/>
      <c r="J108" s="261"/>
      <c r="K108" s="271"/>
      <c r="L108" s="239"/>
      <c r="M108" s="239"/>
      <c r="N108" s="272"/>
      <c r="O108" s="335"/>
      <c r="P108" s="261"/>
    </row>
    <row r="109" spans="1:16" ht="14.25">
      <c r="A109" s="261"/>
      <c r="B109" s="261"/>
      <c r="C109" s="267"/>
      <c r="D109" s="261"/>
      <c r="E109" s="268"/>
      <c r="F109" s="261"/>
      <c r="G109" s="261"/>
      <c r="H109" s="261"/>
      <c r="I109" s="261"/>
      <c r="J109" s="261"/>
      <c r="K109" s="271"/>
      <c r="L109" s="239"/>
      <c r="M109" s="239"/>
      <c r="N109" s="272"/>
      <c r="O109" s="335"/>
      <c r="P109" s="261"/>
    </row>
    <row r="110" spans="1:16" ht="14.25">
      <c r="A110" s="261"/>
      <c r="B110" s="261"/>
      <c r="C110" s="267"/>
      <c r="D110" s="261"/>
      <c r="E110" s="268"/>
      <c r="F110" s="261"/>
      <c r="G110" s="261"/>
      <c r="H110" s="261"/>
      <c r="I110" s="261"/>
      <c r="J110" s="261"/>
      <c r="K110" s="271"/>
      <c r="L110" s="239"/>
      <c r="M110" s="239"/>
      <c r="N110" s="272"/>
      <c r="O110" s="335"/>
      <c r="P110" s="261"/>
    </row>
    <row r="111" spans="1:16" ht="14.25">
      <c r="A111" s="261"/>
      <c r="B111" s="261"/>
      <c r="C111" s="267"/>
      <c r="D111" s="261"/>
      <c r="E111" s="268"/>
      <c r="F111" s="261"/>
      <c r="G111" s="261"/>
      <c r="H111" s="261"/>
      <c r="I111" s="261"/>
      <c r="J111" s="261"/>
      <c r="K111" s="271"/>
      <c r="L111" s="239"/>
      <c r="M111" s="239"/>
      <c r="N111" s="272"/>
      <c r="O111" s="335"/>
      <c r="P111" s="261"/>
    </row>
    <row r="112" spans="1:16" ht="14.25">
      <c r="A112" s="261"/>
      <c r="B112" s="261"/>
      <c r="C112" s="267"/>
      <c r="D112" s="261"/>
      <c r="E112" s="268"/>
      <c r="F112" s="261"/>
      <c r="G112" s="261"/>
      <c r="H112" s="261"/>
      <c r="I112" s="261"/>
      <c r="J112" s="261"/>
      <c r="K112" s="271"/>
      <c r="L112" s="239"/>
      <c r="M112" s="239"/>
      <c r="N112" s="272"/>
      <c r="O112" s="335"/>
      <c r="P112" s="261"/>
    </row>
    <row r="113" spans="1:16" ht="14.25">
      <c r="A113" s="261"/>
      <c r="B113" s="261"/>
      <c r="C113" s="267"/>
      <c r="D113" s="261"/>
      <c r="E113" s="268"/>
      <c r="F113" s="261"/>
      <c r="G113" s="261"/>
      <c r="H113" s="261"/>
      <c r="I113" s="261"/>
      <c r="J113" s="261"/>
      <c r="K113" s="271"/>
      <c r="L113" s="239"/>
      <c r="M113" s="239"/>
      <c r="N113" s="272"/>
      <c r="O113" s="335"/>
      <c r="P113" s="261"/>
    </row>
    <row r="114" spans="1:16" ht="14.25">
      <c r="A114" s="261"/>
      <c r="B114" s="261"/>
      <c r="C114" s="267"/>
      <c r="D114" s="261"/>
      <c r="E114" s="268"/>
      <c r="F114" s="261"/>
      <c r="G114" s="261"/>
      <c r="H114" s="261"/>
      <c r="I114" s="261"/>
      <c r="J114" s="261"/>
      <c r="K114" s="271"/>
      <c r="L114" s="239"/>
      <c r="M114" s="239"/>
      <c r="N114" s="272"/>
      <c r="O114" s="335"/>
      <c r="P114" s="261"/>
    </row>
    <row r="115" spans="1:16" ht="14.25">
      <c r="A115" s="261"/>
      <c r="B115" s="261"/>
      <c r="C115" s="267"/>
      <c r="D115" s="261"/>
      <c r="E115" s="268"/>
      <c r="F115" s="261"/>
      <c r="G115" s="261"/>
      <c r="H115" s="261"/>
      <c r="I115" s="261"/>
      <c r="J115" s="261"/>
      <c r="K115" s="271"/>
      <c r="L115" s="239"/>
      <c r="M115" s="239"/>
      <c r="N115" s="272"/>
      <c r="O115" s="335"/>
      <c r="P115" s="261"/>
    </row>
    <row r="116" spans="1:16" ht="14.25">
      <c r="A116" s="261"/>
      <c r="B116" s="261"/>
      <c r="C116" s="267"/>
      <c r="D116" s="261"/>
      <c r="E116" s="268"/>
      <c r="F116" s="261"/>
      <c r="G116" s="261"/>
      <c r="H116" s="261"/>
      <c r="I116" s="261"/>
      <c r="J116" s="261"/>
      <c r="K116" s="271"/>
      <c r="L116" s="239"/>
      <c r="M116" s="239"/>
      <c r="N116" s="272"/>
      <c r="O116" s="335"/>
      <c r="P116" s="261"/>
    </row>
    <row r="117" spans="1:16" ht="14.25">
      <c r="A117" s="261"/>
      <c r="B117" s="261"/>
      <c r="C117" s="267"/>
      <c r="D117" s="261"/>
      <c r="E117" s="268"/>
      <c r="F117" s="261"/>
      <c r="G117" s="261"/>
      <c r="H117" s="261"/>
      <c r="I117" s="261"/>
      <c r="J117" s="261"/>
      <c r="K117" s="271"/>
      <c r="L117" s="239"/>
      <c r="M117" s="239"/>
      <c r="N117" s="272"/>
      <c r="O117" s="335"/>
      <c r="P117" s="261"/>
    </row>
    <row r="118" spans="1:16" ht="14.25">
      <c r="A118" s="261"/>
      <c r="B118" s="261"/>
      <c r="C118" s="267"/>
      <c r="D118" s="261"/>
      <c r="E118" s="268"/>
      <c r="F118" s="261"/>
      <c r="G118" s="261"/>
      <c r="H118" s="261"/>
      <c r="I118" s="261"/>
      <c r="J118" s="261"/>
      <c r="K118" s="271"/>
      <c r="L118" s="239"/>
      <c r="M118" s="239"/>
      <c r="N118" s="272"/>
      <c r="O118" s="335"/>
      <c r="P118" s="261"/>
    </row>
    <row r="119" spans="1:16" ht="14.25">
      <c r="A119" s="261"/>
      <c r="B119" s="261"/>
      <c r="C119" s="267"/>
      <c r="D119" s="261"/>
      <c r="E119" s="268"/>
      <c r="F119" s="261"/>
      <c r="G119" s="261"/>
      <c r="H119" s="261"/>
      <c r="I119" s="261"/>
      <c r="J119" s="261"/>
      <c r="K119" s="271"/>
      <c r="L119" s="239"/>
      <c r="M119" s="239"/>
      <c r="N119" s="272"/>
      <c r="O119" s="335"/>
      <c r="P119" s="261"/>
    </row>
    <row r="120" spans="1:16" ht="14.25">
      <c r="A120" s="261"/>
      <c r="B120" s="261"/>
      <c r="C120" s="267"/>
      <c r="D120" s="261"/>
      <c r="E120" s="268"/>
      <c r="F120" s="261"/>
      <c r="G120" s="261"/>
      <c r="H120" s="261"/>
      <c r="I120" s="261"/>
      <c r="J120" s="261"/>
      <c r="K120" s="271"/>
      <c r="L120" s="239"/>
      <c r="M120" s="239"/>
      <c r="N120" s="272"/>
      <c r="O120" s="335"/>
      <c r="P120" s="261"/>
    </row>
    <row r="121" spans="1:16" ht="14.25">
      <c r="A121" s="261"/>
      <c r="B121" s="261"/>
      <c r="C121" s="267"/>
      <c r="D121" s="261"/>
      <c r="E121" s="268"/>
      <c r="F121" s="261"/>
      <c r="G121" s="261"/>
      <c r="H121" s="261"/>
      <c r="I121" s="261"/>
      <c r="J121" s="261"/>
      <c r="K121" s="271"/>
      <c r="L121" s="239"/>
      <c r="M121" s="239"/>
      <c r="N121" s="272"/>
      <c r="O121" s="335"/>
      <c r="P121" s="261"/>
    </row>
    <row r="122" spans="1:16" ht="14.25">
      <c r="A122" s="261"/>
      <c r="B122" s="261"/>
      <c r="C122" s="267"/>
      <c r="D122" s="261"/>
      <c r="E122" s="268"/>
      <c r="F122" s="261"/>
      <c r="G122" s="261"/>
      <c r="H122" s="261"/>
      <c r="I122" s="261"/>
      <c r="J122" s="261"/>
      <c r="K122" s="271"/>
      <c r="L122" s="239"/>
      <c r="M122" s="239"/>
      <c r="N122" s="272"/>
      <c r="O122" s="335"/>
      <c r="P122" s="261"/>
    </row>
    <row r="123" spans="1:16" ht="14.25">
      <c r="A123" s="261"/>
      <c r="B123" s="261"/>
      <c r="C123" s="267"/>
      <c r="D123" s="261"/>
      <c r="E123" s="268"/>
      <c r="F123" s="261"/>
      <c r="G123" s="261"/>
      <c r="H123" s="261"/>
      <c r="I123" s="261"/>
      <c r="J123" s="261"/>
      <c r="K123" s="271"/>
      <c r="L123" s="239"/>
      <c r="M123" s="239"/>
      <c r="N123" s="272"/>
      <c r="O123" s="335"/>
      <c r="P123" s="261"/>
    </row>
    <row r="124" spans="1:16" ht="14.25">
      <c r="A124" s="261"/>
      <c r="B124" s="261"/>
      <c r="C124" s="267"/>
      <c r="D124" s="261"/>
      <c r="E124" s="268"/>
      <c r="F124" s="261"/>
      <c r="G124" s="261"/>
      <c r="H124" s="261"/>
      <c r="I124" s="261"/>
      <c r="J124" s="261"/>
      <c r="K124" s="271"/>
      <c r="L124" s="239"/>
      <c r="M124" s="239"/>
      <c r="N124" s="272"/>
      <c r="O124" s="335"/>
      <c r="P124" s="261"/>
    </row>
    <row r="125" spans="1:16" ht="14.25">
      <c r="A125" s="261"/>
      <c r="B125" s="261"/>
      <c r="C125" s="267"/>
      <c r="D125" s="261"/>
      <c r="E125" s="268"/>
      <c r="F125" s="261"/>
      <c r="G125" s="261"/>
      <c r="H125" s="261"/>
      <c r="I125" s="261"/>
      <c r="J125" s="261"/>
      <c r="K125" s="271"/>
      <c r="L125" s="239"/>
      <c r="M125" s="239"/>
      <c r="N125" s="272"/>
      <c r="O125" s="335"/>
      <c r="P125" s="261"/>
    </row>
    <row r="126" spans="1:16" ht="14.25">
      <c r="A126" s="261"/>
      <c r="B126" s="261"/>
      <c r="C126" s="267"/>
      <c r="D126" s="261"/>
      <c r="E126" s="268"/>
      <c r="F126" s="261"/>
      <c r="G126" s="261"/>
      <c r="H126" s="261"/>
      <c r="I126" s="261"/>
      <c r="J126" s="261"/>
      <c r="K126" s="271"/>
      <c r="L126" s="239"/>
      <c r="M126" s="239"/>
      <c r="N126" s="272"/>
      <c r="O126" s="335"/>
      <c r="P126" s="261"/>
    </row>
    <row r="127" spans="1:16" ht="14.25">
      <c r="A127" s="261"/>
      <c r="B127" s="261"/>
      <c r="C127" s="267"/>
      <c r="D127" s="261"/>
      <c r="E127" s="268"/>
      <c r="F127" s="261"/>
      <c r="G127" s="261"/>
      <c r="H127" s="261"/>
      <c r="I127" s="261"/>
      <c r="J127" s="261"/>
      <c r="K127" s="271"/>
      <c r="L127" s="239"/>
      <c r="M127" s="239"/>
      <c r="N127" s="272"/>
      <c r="O127" s="335"/>
      <c r="P127" s="261"/>
    </row>
    <row r="128" spans="1:16" ht="14.25">
      <c r="A128" s="261"/>
      <c r="B128" s="261"/>
      <c r="C128" s="267"/>
      <c r="D128" s="261"/>
      <c r="E128" s="268"/>
      <c r="F128" s="261"/>
      <c r="G128" s="261"/>
      <c r="H128" s="261"/>
      <c r="I128" s="261"/>
      <c r="J128" s="261"/>
      <c r="K128" s="271"/>
      <c r="L128" s="239"/>
      <c r="M128" s="239"/>
      <c r="N128" s="272"/>
      <c r="O128" s="335"/>
      <c r="P128" s="261"/>
    </row>
    <row r="129" spans="1:16" ht="14.25">
      <c r="A129" s="261"/>
      <c r="B129" s="261"/>
      <c r="C129" s="267"/>
      <c r="D129" s="261"/>
      <c r="E129" s="268"/>
      <c r="F129" s="261"/>
      <c r="G129" s="261"/>
      <c r="H129" s="261"/>
      <c r="I129" s="261"/>
      <c r="J129" s="261"/>
      <c r="K129" s="271"/>
      <c r="L129" s="239"/>
      <c r="M129" s="239"/>
      <c r="N129" s="272"/>
      <c r="O129" s="335"/>
      <c r="P129" s="261"/>
    </row>
    <row r="130" spans="1:16" ht="14.25">
      <c r="A130" s="261"/>
      <c r="B130" s="261"/>
      <c r="C130" s="267"/>
      <c r="D130" s="261"/>
      <c r="E130" s="268"/>
      <c r="F130" s="261"/>
      <c r="G130" s="261"/>
      <c r="H130" s="261"/>
      <c r="I130" s="261"/>
      <c r="J130" s="261"/>
      <c r="K130" s="271"/>
      <c r="L130" s="239"/>
      <c r="M130" s="239"/>
      <c r="N130" s="272"/>
      <c r="O130" s="335"/>
      <c r="P130" s="261"/>
    </row>
    <row r="131" spans="1:16" ht="14.25">
      <c r="A131" s="261"/>
      <c r="B131" s="261"/>
      <c r="C131" s="267"/>
      <c r="D131" s="261"/>
      <c r="E131" s="268"/>
      <c r="F131" s="261"/>
      <c r="G131" s="261"/>
      <c r="H131" s="261"/>
      <c r="I131" s="261"/>
      <c r="J131" s="261"/>
      <c r="K131" s="271"/>
      <c r="L131" s="239"/>
      <c r="M131" s="239"/>
      <c r="N131" s="272"/>
      <c r="O131" s="335"/>
      <c r="P131" s="261"/>
    </row>
  </sheetData>
  <sheetProtection/>
  <mergeCells count="2">
    <mergeCell ref="N5:P5"/>
    <mergeCell ref="A1:P1"/>
  </mergeCells>
  <printOptions/>
  <pageMargins left="0.7" right="0.7" top="0.75" bottom="0.75" header="0.3" footer="0.3"/>
  <pageSetup fitToHeight="1" fitToWidth="1" horizontalDpi="600" verticalDpi="600" orientation="portrait"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Idaho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EBB-D5-12 5,000-Head Open Lot Idaho Dairy</dc:title>
  <dc:subject/>
  <dc:creator>Kate Painter</dc:creator>
  <cp:keywords>Dairy costs of production</cp:keywords>
  <dc:description/>
  <cp:lastModifiedBy>KatePainter</cp:lastModifiedBy>
  <cp:lastPrinted>2015-03-25T17:23:12Z</cp:lastPrinted>
  <dcterms:created xsi:type="dcterms:W3CDTF">2010-07-28T20:14:59Z</dcterms:created>
  <dcterms:modified xsi:type="dcterms:W3CDTF">2015-07-06T23:35:54Z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