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Enterprise Budgets\Enterprise Budgets 2020\Livestock Budgets - 2020\HFR-20\"/>
    </mc:Choice>
  </mc:AlternateContent>
  <xr:revisionPtr revIDLastSave="0" documentId="13_ncr:1_{9C257BB3-DE6D-4E79-845E-C3FE581C91B4}" xr6:coauthVersionLast="44" xr6:coauthVersionMax="44" xr10:uidLastSave="{00000000-0000-0000-0000-000000000000}"/>
  <bookViews>
    <workbookView xWindow="-25320" yWindow="-2610" windowWidth="25440" windowHeight="15390" xr2:uid="{00000000-000D-0000-FFFF-FFFF00000000}"/>
  </bookViews>
  <sheets>
    <sheet name="HFR-Budget" sheetId="9" r:id="rId1"/>
    <sheet name="Monthly Flows" sheetId="20" r:id="rId2"/>
    <sheet name="Vet&amp;Breeding" sheetId="19" r:id="rId3"/>
  </sheets>
  <externalReferences>
    <externalReference r:id="rId4"/>
  </externalReferences>
  <definedNames>
    <definedName name="alf">'[1]Input Prices'!#REF!</definedName>
    <definedName name="Alfalfa">'[1]Input Prices'!$C$6</definedName>
    <definedName name="Barley">'[1]Input Prices'!$C$7</definedName>
    <definedName name="Bull">'[1]Input Prices'!#REF!</definedName>
    <definedName name="ChkOff">'[1]Input Prices'!$C$17</definedName>
    <definedName name="CropAft">'[1]Input Prices'!$C$12</definedName>
    <definedName name="Cull">'[1]Input Prices'!#REF!</definedName>
    <definedName name="fed">'[1]Input Prices'!$C$8</definedName>
    <definedName name="Heifer">'[1]Input Prices'!#REF!</definedName>
    <definedName name="hrdlbr">'[1]Input Prices'!#REF!</definedName>
    <definedName name="llabor">'[1]Input Prices'!$C$21</definedName>
    <definedName name="Mdwhay">'[1]Input Prices'!#REF!</definedName>
    <definedName name="Mdwpastr">'[1]Input Prices'!$C$10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'HFR-Budget'!$B$2:$O$32</definedName>
    <definedName name="Private">'[1]Input Prices'!$C$11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>'[1]Input Prices'!#REF!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20" l="1"/>
  <c r="P14" i="20"/>
  <c r="J14" i="20"/>
  <c r="I14" i="20"/>
  <c r="H14" i="20"/>
  <c r="G14" i="20"/>
  <c r="F14" i="20"/>
  <c r="E14" i="20"/>
  <c r="D14" i="20"/>
  <c r="C26" i="20" l="1"/>
  <c r="C14" i="20"/>
  <c r="C15" i="20"/>
  <c r="C16" i="20"/>
  <c r="C17" i="20"/>
  <c r="C18" i="20"/>
  <c r="C19" i="20"/>
  <c r="C20" i="20"/>
  <c r="C21" i="20"/>
  <c r="C22" i="20"/>
  <c r="C23" i="20"/>
  <c r="C24" i="20"/>
  <c r="C25" i="20"/>
  <c r="C13" i="20"/>
  <c r="C7" i="20"/>
  <c r="C6" i="20"/>
  <c r="O9" i="20"/>
  <c r="J25" i="9" l="1"/>
  <c r="L25" i="9" s="1"/>
  <c r="R24" i="20" s="1"/>
  <c r="P24" i="20" s="1"/>
  <c r="M25" i="9" l="1"/>
  <c r="E28" i="19"/>
  <c r="T27" i="19"/>
  <c r="T28" i="19"/>
  <c r="T26" i="19"/>
  <c r="T25" i="19"/>
  <c r="T24" i="19"/>
  <c r="T23" i="19"/>
  <c r="T22" i="19"/>
  <c r="H17" i="9"/>
  <c r="Q38" i="20"/>
  <c r="R38" i="20"/>
  <c r="T29" i="19" l="1"/>
  <c r="T31" i="19" s="1"/>
  <c r="J21" i="9" s="1"/>
  <c r="E48" i="20"/>
  <c r="D49" i="20"/>
  <c r="E49" i="20" s="1"/>
  <c r="D50" i="20" l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E61" i="20" s="1"/>
  <c r="E52" i="20"/>
  <c r="E59" i="20"/>
  <c r="E56" i="20"/>
  <c r="E54" i="20"/>
  <c r="L21" i="9"/>
  <c r="T7" i="19"/>
  <c r="T8" i="19"/>
  <c r="T9" i="19"/>
  <c r="T10" i="19"/>
  <c r="T11" i="19"/>
  <c r="T6" i="19"/>
  <c r="E53" i="20" l="1"/>
  <c r="E60" i="20"/>
  <c r="M21" i="9"/>
  <c r="R20" i="20"/>
  <c r="J20" i="20" s="1"/>
  <c r="E55" i="20"/>
  <c r="E57" i="20"/>
  <c r="E50" i="20"/>
  <c r="E58" i="20"/>
  <c r="E51" i="20"/>
  <c r="L9" i="9"/>
  <c r="R6" i="20" s="1"/>
  <c r="Q6" i="20" s="1"/>
  <c r="L10" i="9"/>
  <c r="R7" i="20" s="1"/>
  <c r="P7" i="20" s="1"/>
  <c r="M10" i="9"/>
  <c r="P9" i="20" l="1"/>
  <c r="Q9" i="20"/>
  <c r="T12" i="19"/>
  <c r="T14" i="19" s="1"/>
  <c r="T16" i="19" s="1"/>
  <c r="J20" i="9" s="1"/>
  <c r="L14" i="9" l="1"/>
  <c r="R13" i="20" s="1"/>
  <c r="L15" i="9"/>
  <c r="L16" i="9"/>
  <c r="R15" i="20" s="1"/>
  <c r="L17" i="9"/>
  <c r="R16" i="20" s="1"/>
  <c r="L18" i="9"/>
  <c r="R17" i="20" s="1"/>
  <c r="L19" i="9"/>
  <c r="L20" i="9"/>
  <c r="R19" i="20" s="1"/>
  <c r="L22" i="9"/>
  <c r="R21" i="20" s="1"/>
  <c r="L23" i="9"/>
  <c r="R22" i="20" s="1"/>
  <c r="L26" i="9"/>
  <c r="F9" i="20"/>
  <c r="G9" i="20"/>
  <c r="J9" i="20"/>
  <c r="D9" i="20"/>
  <c r="I9" i="20"/>
  <c r="H9" i="20"/>
  <c r="M9" i="20"/>
  <c r="E9" i="20"/>
  <c r="K9" i="20"/>
  <c r="N9" i="20"/>
  <c r="H21" i="20" l="1"/>
  <c r="E21" i="20"/>
  <c r="F21" i="20"/>
  <c r="G21" i="20"/>
  <c r="M21" i="20"/>
  <c r="N21" i="20"/>
  <c r="O21" i="20"/>
  <c r="L21" i="20"/>
  <c r="D21" i="20"/>
  <c r="Q21" i="20"/>
  <c r="P21" i="20"/>
  <c r="J21" i="20"/>
  <c r="I21" i="20"/>
  <c r="K21" i="20"/>
  <c r="P17" i="20"/>
  <c r="L17" i="20"/>
  <c r="M17" i="20"/>
  <c r="N17" i="20"/>
  <c r="O17" i="20"/>
  <c r="K17" i="20"/>
  <c r="J16" i="20"/>
  <c r="I16" i="20"/>
  <c r="G16" i="20"/>
  <c r="H16" i="20"/>
  <c r="E16" i="20"/>
  <c r="D16" i="20"/>
  <c r="P16" i="20"/>
  <c r="F16" i="20"/>
  <c r="Q16" i="20"/>
  <c r="M19" i="9"/>
  <c r="R18" i="20"/>
  <c r="P19" i="20"/>
  <c r="I19" i="20"/>
  <c r="D19" i="20"/>
  <c r="M26" i="9"/>
  <c r="R25" i="20"/>
  <c r="M15" i="9"/>
  <c r="R14" i="20"/>
  <c r="M22" i="9"/>
  <c r="J22" i="20"/>
  <c r="I22" i="20"/>
  <c r="O22" i="20"/>
  <c r="P22" i="20"/>
  <c r="Q22" i="20"/>
  <c r="G22" i="20"/>
  <c r="H22" i="20"/>
  <c r="E22" i="20"/>
  <c r="N22" i="20"/>
  <c r="L22" i="20"/>
  <c r="K22" i="20"/>
  <c r="D22" i="20"/>
  <c r="M22" i="20"/>
  <c r="F22" i="20"/>
  <c r="D13" i="20"/>
  <c r="M18" i="9"/>
  <c r="M17" i="9"/>
  <c r="M9" i="9"/>
  <c r="L11" i="9"/>
  <c r="R9" i="20" s="1"/>
  <c r="L9" i="20"/>
  <c r="M16" i="9"/>
  <c r="M23" i="9"/>
  <c r="M20" i="9"/>
  <c r="M14" i="9"/>
  <c r="P18" i="20" l="1"/>
  <c r="K18" i="20"/>
  <c r="J25" i="20"/>
  <c r="H25" i="20"/>
  <c r="P25" i="20"/>
  <c r="Q25" i="20"/>
  <c r="L25" i="20"/>
  <c r="K25" i="20"/>
  <c r="M25" i="20"/>
  <c r="F25" i="20"/>
  <c r="I25" i="20"/>
  <c r="O25" i="20"/>
  <c r="E25" i="20"/>
  <c r="G25" i="20"/>
  <c r="N25" i="20"/>
  <c r="D25" i="20"/>
  <c r="O28" i="20"/>
  <c r="N28" i="20"/>
  <c r="N31" i="20" s="1"/>
  <c r="P28" i="20"/>
  <c r="M28" i="20"/>
  <c r="M31" i="20" s="1"/>
  <c r="G28" i="20"/>
  <c r="G31" i="20" s="1"/>
  <c r="H28" i="20"/>
  <c r="H31" i="20" s="1"/>
  <c r="L24" i="9"/>
  <c r="R23" i="20" s="1"/>
  <c r="Q23" i="20" s="1"/>
  <c r="M11" i="9"/>
  <c r="K28" i="20"/>
  <c r="K31" i="20" s="1"/>
  <c r="Q28" i="20" l="1"/>
  <c r="Q31" i="20" s="1"/>
  <c r="H28" i="9"/>
  <c r="L28" i="9" s="1"/>
  <c r="R26" i="20" s="1"/>
  <c r="I28" i="20"/>
  <c r="I31" i="20" s="1"/>
  <c r="J28" i="20"/>
  <c r="J31" i="20" s="1"/>
  <c r="D28" i="20"/>
  <c r="D31" i="20" s="1"/>
  <c r="F28" i="20"/>
  <c r="F31" i="20" s="1"/>
  <c r="E28" i="20"/>
  <c r="E31" i="20" s="1"/>
  <c r="M24" i="9"/>
  <c r="L28" i="20"/>
  <c r="L31" i="20" s="1"/>
  <c r="R28" i="20" l="1"/>
  <c r="R31" i="20" s="1"/>
  <c r="Q26" i="20"/>
  <c r="L29" i="9"/>
  <c r="M28" i="9"/>
  <c r="L31" i="9" l="1"/>
  <c r="M31" i="9" s="1"/>
  <c r="M29" i="9"/>
</calcChain>
</file>

<file path=xl/sharedStrings.xml><?xml version="1.0" encoding="utf-8"?>
<sst xmlns="http://schemas.openxmlformats.org/spreadsheetml/2006/main" count="188" uniqueCount="90">
  <si>
    <t>Unit</t>
  </si>
  <si>
    <t>Value or</t>
  </si>
  <si>
    <t>Price or</t>
  </si>
  <si>
    <t>Cost/Head</t>
  </si>
  <si>
    <t>Cost/Unit</t>
  </si>
  <si>
    <t>Each</t>
  </si>
  <si>
    <t>of Head</t>
  </si>
  <si>
    <t>Weight</t>
  </si>
  <si>
    <t>Total Number</t>
  </si>
  <si>
    <t>or Units</t>
  </si>
  <si>
    <t>Total</t>
  </si>
  <si>
    <t>Value</t>
  </si>
  <si>
    <t>lbs</t>
  </si>
  <si>
    <t>ton</t>
  </si>
  <si>
    <t>cwt</t>
  </si>
  <si>
    <t>head</t>
  </si>
  <si>
    <t>$</t>
  </si>
  <si>
    <t>hour</t>
  </si>
  <si>
    <t>TOTAL GROSS RETURNS</t>
  </si>
  <si>
    <t>GROSS RETURNS</t>
  </si>
  <si>
    <t>OPERATING COSTS</t>
  </si>
  <si>
    <t>TOTAL OPERATING COSTS</t>
  </si>
  <si>
    <t>NET RETURNS ABOVE OPERATING COSTS</t>
  </si>
  <si>
    <t>Salt/Mineral</t>
  </si>
  <si>
    <t>Interest on Operating Capital</t>
  </si>
  <si>
    <t>Hired Labor</t>
  </si>
  <si>
    <t>dose</t>
  </si>
  <si>
    <t>Respiratory Viral</t>
  </si>
  <si>
    <t xml:space="preserve">Table 2:  Monthly Summary of Returns and Expenses.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</si>
  <si>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</si>
  <si>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</si>
  <si>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</si>
  <si>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</si>
  <si>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</si>
  <si>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</si>
  <si>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</si>
  <si>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</si>
  <si>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</si>
  <si>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</si>
  <si>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</si>
  <si>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</si>
  <si>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Production:</t>
  </si>
  <si>
    <t>Operating Inputs:</t>
  </si>
  <si>
    <t>Total Receipts</t>
  </si>
  <si>
    <t>Total Costs</t>
  </si>
  <si>
    <t>Net Returns</t>
  </si>
  <si>
    <t xml:space="preserve">Table 3:  Monthly Feed Requirements. </t>
  </si>
  <si>
    <t>Feed</t>
  </si>
  <si>
    <t>Units</t>
  </si>
  <si>
    <t>Your Value</t>
  </si>
  <si>
    <t>Alfalfa Hay</t>
  </si>
  <si>
    <t>No. of Head:</t>
  </si>
  <si>
    <t>Pasture</t>
  </si>
  <si>
    <t>Yardage</t>
  </si>
  <si>
    <t>Hauling</t>
  </si>
  <si>
    <t>Veterinary</t>
  </si>
  <si>
    <t>Miscellaneous</t>
  </si>
  <si>
    <t>Marketing</t>
  </si>
  <si>
    <t>Veterinary Expenses</t>
  </si>
  <si>
    <t>Number of Head</t>
  </si>
  <si>
    <t>$/Unit</t>
  </si>
  <si>
    <t>8 Way</t>
  </si>
  <si>
    <t>Pour-On</t>
  </si>
  <si>
    <t>$/Hd</t>
  </si>
  <si>
    <t>Wintered to Go to Grass, Bought in Fall, Sold in Winter</t>
  </si>
  <si>
    <t>Bred Replacement Heifers</t>
  </si>
  <si>
    <t>Cull Heifers</t>
  </si>
  <si>
    <t>hd</t>
  </si>
  <si>
    <t>Purchased/Transfered Heifers</t>
  </si>
  <si>
    <t>Bangs</t>
  </si>
  <si>
    <t>Reproduction Viral</t>
  </si>
  <si>
    <t>Preg Check</t>
  </si>
  <si>
    <t>Breeding</t>
  </si>
  <si>
    <t>Supplement</t>
  </si>
  <si>
    <t>Plus 25%</t>
  </si>
  <si>
    <t>Breeding Expenses</t>
  </si>
  <si>
    <t>Semen</t>
  </si>
  <si>
    <t>Heifers</t>
  </si>
  <si>
    <t>GnRH (Cystorelin)</t>
  </si>
  <si>
    <t>PG (Lutalyse)</t>
  </si>
  <si>
    <t>CIDR</t>
  </si>
  <si>
    <t>AI Supplies</t>
  </si>
  <si>
    <t>AI Technician</t>
  </si>
  <si>
    <t>Clean up bull (ammortized per head cost)</t>
  </si>
  <si>
    <t>Commision</t>
  </si>
  <si>
    <t>AUM</t>
  </si>
  <si>
    <t>hd-day</t>
  </si>
  <si>
    <t>Feed (ton)</t>
  </si>
  <si>
    <t xml:space="preserve">Table 1:  Replacement Heifer Budget, 100 Head - 2020 </t>
  </si>
  <si>
    <t>EBB-HFR-20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</si>
</sst>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color rgb="FF0000CC"/>
      <name val="Arial"/>
      <family val="2"/>
    </font>
    <font>
      <b/>
      <sz val="12"/>
      <color rgb="FFC00000"/>
      <name val="Arial"/>
      <family val="2"/>
    </font>
    <font>
      <sz val="14"/>
      <color rgb="FFC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6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Protection="1">
      <protection locked="0"/>
    </xf>
    <xf numFmtId="1" fontId="6" fillId="0" borderId="0" xfId="2" applyNumberFormat="1" applyFont="1" applyBorder="1" applyAlignment="1" applyProtection="1">
      <alignment horizontal="center"/>
      <protection locked="0"/>
    </xf>
    <xf numFmtId="3" fontId="6" fillId="0" borderId="0" xfId="2" applyNumberFormat="1" applyFont="1" applyBorder="1" applyAlignment="1" applyProtection="1">
      <alignment horizontal="center"/>
      <protection locked="0"/>
    </xf>
    <xf numFmtId="39" fontId="2" fillId="0" borderId="0" xfId="3" applyNumberFormat="1" applyFont="1" applyBorder="1" applyAlignment="1" applyProtection="1">
      <alignment horizontal="right"/>
      <protection locked="0"/>
    </xf>
    <xf numFmtId="0" fontId="4" fillId="2" borderId="0" xfId="2" applyFont="1" applyFill="1" applyBorder="1" applyAlignment="1">
      <alignment horizontal="right" vertical="center"/>
    </xf>
    <xf numFmtId="0" fontId="6" fillId="2" borderId="0" xfId="2" applyFont="1" applyFill="1" applyBorder="1"/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6" fillId="2" borderId="2" xfId="2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6" fillId="2" borderId="5" xfId="2" applyFont="1" applyFill="1" applyBorder="1"/>
    <xf numFmtId="0" fontId="6" fillId="0" borderId="5" xfId="2" applyFont="1" applyBorder="1"/>
    <xf numFmtId="0" fontId="4" fillId="2" borderId="5" xfId="2" applyFont="1" applyFill="1" applyBorder="1" applyAlignment="1">
      <alignment horizontal="right" vertical="top"/>
    </xf>
    <xf numFmtId="0" fontId="4" fillId="2" borderId="0" xfId="2" applyFont="1" applyFill="1" applyBorder="1" applyAlignment="1">
      <alignment vertical="center"/>
    </xf>
    <xf numFmtId="0" fontId="6" fillId="0" borderId="2" xfId="2" applyFont="1" applyBorder="1"/>
    <xf numFmtId="0" fontId="6" fillId="0" borderId="0" xfId="2" applyFont="1" applyBorder="1"/>
    <xf numFmtId="164" fontId="7" fillId="2" borderId="0" xfId="2" applyNumberFormat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39" fontId="2" fillId="2" borderId="0" xfId="3" applyNumberFormat="1" applyFont="1" applyFill="1" applyBorder="1"/>
    <xf numFmtId="7" fontId="3" fillId="2" borderId="0" xfId="3" applyNumberFormat="1" applyFont="1" applyFill="1" applyBorder="1"/>
    <xf numFmtId="164" fontId="3" fillId="2" borderId="0" xfId="3" applyNumberFormat="1" applyFont="1" applyFill="1" applyBorder="1"/>
    <xf numFmtId="3" fontId="2" fillId="0" borderId="0" xfId="0" applyNumberFormat="1" applyFont="1" applyFill="1"/>
    <xf numFmtId="0" fontId="4" fillId="2" borderId="5" xfId="2" applyFont="1" applyFill="1" applyBorder="1" applyAlignment="1">
      <alignment horizontal="right" vertical="center"/>
    </xf>
    <xf numFmtId="164" fontId="4" fillId="2" borderId="3" xfId="2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3" fontId="2" fillId="2" borderId="0" xfId="0" applyNumberFormat="1" applyFont="1" applyFill="1" applyBorder="1"/>
    <xf numFmtId="0" fontId="2" fillId="2" borderId="2" xfId="0" applyFont="1" applyFill="1" applyBorder="1"/>
    <xf numFmtId="3" fontId="3" fillId="2" borderId="0" xfId="0" applyNumberFormat="1" applyFont="1" applyFill="1" applyBorder="1"/>
    <xf numFmtId="0" fontId="2" fillId="2" borderId="0" xfId="0" applyFont="1" applyFill="1"/>
    <xf numFmtId="0" fontId="6" fillId="2" borderId="5" xfId="2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" fontId="4" fillId="2" borderId="3" xfId="2" applyNumberFormat="1" applyFont="1" applyFill="1" applyBorder="1" applyAlignment="1">
      <alignment horizontal="right" vertical="center"/>
    </xf>
    <xf numFmtId="0" fontId="6" fillId="2" borderId="0" xfId="2" applyFont="1" applyFill="1" applyBorder="1" applyProtection="1">
      <protection locked="0"/>
    </xf>
    <xf numFmtId="0" fontId="4" fillId="2" borderId="0" xfId="2" applyFont="1" applyFill="1" applyBorder="1" applyProtection="1">
      <protection locked="0"/>
    </xf>
    <xf numFmtId="0" fontId="6" fillId="2" borderId="2" xfId="2" applyFont="1" applyFill="1" applyBorder="1" applyProtection="1">
      <protection locked="0"/>
    </xf>
    <xf numFmtId="0" fontId="6" fillId="2" borderId="0" xfId="2" applyFont="1" applyFill="1" applyBorder="1" applyAlignment="1" applyProtection="1">
      <protection locked="0"/>
    </xf>
    <xf numFmtId="3" fontId="6" fillId="2" borderId="0" xfId="2" applyNumberFormat="1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alignment vertical="center"/>
      <protection locked="0"/>
    </xf>
    <xf numFmtId="164" fontId="4" fillId="2" borderId="3" xfId="2" applyNumberFormat="1" applyFont="1" applyFill="1" applyBorder="1" applyAlignment="1">
      <alignment vertical="center"/>
    </xf>
    <xf numFmtId="1" fontId="4" fillId="4" borderId="5" xfId="2" applyNumberFormat="1" applyFont="1" applyFill="1" applyBorder="1" applyAlignment="1">
      <alignment horizontal="center"/>
    </xf>
    <xf numFmtId="164" fontId="7" fillId="4" borderId="5" xfId="2" applyNumberFormat="1" applyFont="1" applyFill="1" applyBorder="1" applyAlignment="1">
      <alignment horizontal="center"/>
    </xf>
    <xf numFmtId="0" fontId="6" fillId="4" borderId="0" xfId="2" applyFont="1" applyFill="1" applyBorder="1"/>
    <xf numFmtId="164" fontId="4" fillId="4" borderId="0" xfId="2" applyNumberFormat="1" applyFont="1" applyFill="1" applyBorder="1" applyAlignment="1">
      <alignment horizontal="center"/>
    </xf>
    <xf numFmtId="164" fontId="4" fillId="4" borderId="3" xfId="2" applyNumberFormat="1" applyFont="1" applyFill="1" applyBorder="1" applyAlignment="1">
      <alignment horizontal="center"/>
    </xf>
    <xf numFmtId="0" fontId="6" fillId="4" borderId="3" xfId="2" applyFont="1" applyFill="1" applyBorder="1"/>
    <xf numFmtId="1" fontId="4" fillId="3" borderId="5" xfId="2" applyNumberFormat="1" applyFont="1" applyFill="1" applyBorder="1" applyAlignment="1">
      <alignment horizontal="center"/>
    </xf>
    <xf numFmtId="164" fontId="7" fillId="3" borderId="5" xfId="2" applyNumberFormat="1" applyFont="1" applyFill="1" applyBorder="1" applyAlignment="1">
      <alignment horizontal="center"/>
    </xf>
    <xf numFmtId="164" fontId="7" fillId="3" borderId="0" xfId="2" applyNumberFormat="1" applyFont="1" applyFill="1" applyBorder="1" applyAlignment="1">
      <alignment horizontal="center"/>
    </xf>
    <xf numFmtId="0" fontId="6" fillId="3" borderId="0" xfId="2" applyFont="1" applyFill="1" applyBorder="1"/>
    <xf numFmtId="164" fontId="4" fillId="3" borderId="0" xfId="2" applyNumberFormat="1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"/>
    </xf>
    <xf numFmtId="37" fontId="2" fillId="3" borderId="0" xfId="3" applyNumberFormat="1" applyFont="1" applyFill="1" applyBorder="1"/>
    <xf numFmtId="39" fontId="2" fillId="3" borderId="0" xfId="3" applyNumberFormat="1" applyFont="1" applyFill="1" applyBorder="1"/>
    <xf numFmtId="9" fontId="2" fillId="3" borderId="7" xfId="4" applyFont="1" applyFill="1" applyBorder="1"/>
    <xf numFmtId="37" fontId="2" fillId="3" borderId="2" xfId="3" applyNumberFormat="1" applyFont="1" applyFill="1" applyBorder="1"/>
    <xf numFmtId="39" fontId="2" fillId="3" borderId="2" xfId="3" applyNumberFormat="1" applyFont="1" applyFill="1" applyBorder="1"/>
    <xf numFmtId="5" fontId="3" fillId="3" borderId="3" xfId="3" applyNumberFormat="1" applyFont="1" applyFill="1" applyBorder="1"/>
    <xf numFmtId="7" fontId="3" fillId="3" borderId="3" xfId="3" applyNumberFormat="1" applyFont="1" applyFill="1" applyBorder="1"/>
    <xf numFmtId="7" fontId="3" fillId="3" borderId="0" xfId="3" applyNumberFormat="1" applyFont="1" applyFill="1" applyBorder="1"/>
    <xf numFmtId="0" fontId="6" fillId="3" borderId="3" xfId="2" applyFont="1" applyFill="1" applyBorder="1"/>
    <xf numFmtId="37" fontId="2" fillId="3" borderId="0" xfId="5" applyNumberFormat="1" applyFont="1" applyFill="1" applyBorder="1"/>
    <xf numFmtId="37" fontId="6" fillId="3" borderId="0" xfId="2" applyNumberFormat="1" applyFont="1" applyFill="1" applyBorder="1"/>
    <xf numFmtId="0" fontId="6" fillId="3" borderId="7" xfId="2" applyFont="1" applyFill="1" applyBorder="1"/>
    <xf numFmtId="5" fontId="4" fillId="3" borderId="3" xfId="2" applyNumberFormat="1" applyFont="1" applyFill="1" applyBorder="1"/>
    <xf numFmtId="164" fontId="3" fillId="3" borderId="3" xfId="3" applyNumberFormat="1" applyFont="1" applyFill="1" applyBorder="1"/>
    <xf numFmtId="164" fontId="3" fillId="3" borderId="0" xfId="3" applyNumberFormat="1" applyFont="1" applyFill="1" applyBorder="1"/>
    <xf numFmtId="37" fontId="6" fillId="3" borderId="1" xfId="2" applyNumberFormat="1" applyFont="1" applyFill="1" applyBorder="1"/>
    <xf numFmtId="39" fontId="2" fillId="3" borderId="6" xfId="3" applyNumberFormat="1" applyFont="1" applyFill="1" applyBorder="1"/>
    <xf numFmtId="5" fontId="4" fillId="3" borderId="4" xfId="2" applyNumberFormat="1" applyFont="1" applyFill="1" applyBorder="1"/>
    <xf numFmtId="0" fontId="6" fillId="3" borderId="4" xfId="2" applyFont="1" applyFill="1" applyBorder="1"/>
    <xf numFmtId="0" fontId="4" fillId="4" borderId="3" xfId="2" applyFont="1" applyFill="1" applyBorder="1"/>
    <xf numFmtId="0" fontId="6" fillId="4" borderId="3" xfId="2" applyFont="1" applyFill="1" applyBorder="1" applyAlignment="1">
      <alignment horizontal="center"/>
    </xf>
    <xf numFmtId="0" fontId="6" fillId="4" borderId="0" xfId="2" applyFont="1" applyFill="1" applyBorder="1" applyAlignment="1">
      <alignment horizontal="center"/>
    </xf>
    <xf numFmtId="0" fontId="6" fillId="4" borderId="1" xfId="2" applyFont="1" applyFill="1" applyBorder="1"/>
    <xf numFmtId="0" fontId="6" fillId="4" borderId="1" xfId="2" applyFont="1" applyFill="1" applyBorder="1" applyAlignment="1">
      <alignment horizontal="center"/>
    </xf>
    <xf numFmtId="2" fontId="6" fillId="4" borderId="3" xfId="2" applyNumberFormat="1" applyFont="1" applyFill="1" applyBorder="1" applyAlignment="1">
      <alignment horizontal="center"/>
    </xf>
    <xf numFmtId="2" fontId="6" fillId="4" borderId="1" xfId="2" applyNumberFormat="1" applyFont="1" applyFill="1" applyBorder="1" applyAlignment="1">
      <alignment horizontal="center"/>
    </xf>
    <xf numFmtId="2" fontId="6" fillId="4" borderId="0" xfId="2" applyNumberFormat="1" applyFont="1" applyFill="1" applyBorder="1" applyAlignment="1">
      <alignment horizontal="center"/>
    </xf>
    <xf numFmtId="2" fontId="6" fillId="4" borderId="0" xfId="2" applyNumberFormat="1" applyFont="1" applyFill="1" applyBorder="1"/>
    <xf numFmtId="164" fontId="4" fillId="4" borderId="5" xfId="2" applyNumberFormat="1" applyFont="1" applyFill="1" applyBorder="1" applyAlignment="1">
      <alignment horizontal="left"/>
    </xf>
    <xf numFmtId="164" fontId="4" fillId="4" borderId="5" xfId="2" applyNumberFormat="1" applyFont="1" applyFill="1" applyBorder="1" applyAlignment="1">
      <alignment horizontal="center"/>
    </xf>
    <xf numFmtId="164" fontId="4" fillId="4" borderId="0" xfId="2" applyNumberFormat="1" applyFont="1" applyFill="1" applyBorder="1" applyAlignment="1">
      <alignment horizontal="left"/>
    </xf>
    <xf numFmtId="164" fontId="4" fillId="4" borderId="3" xfId="2" applyNumberFormat="1" applyFont="1" applyFill="1" applyBorder="1" applyAlignment="1">
      <alignment horizontal="left"/>
    </xf>
    <xf numFmtId="1" fontId="4" fillId="4" borderId="3" xfId="2" applyNumberFormat="1" applyFont="1" applyFill="1" applyBorder="1" applyAlignment="1">
      <alignment horizontal="center"/>
    </xf>
    <xf numFmtId="4" fontId="6" fillId="4" borderId="0" xfId="2" applyNumberFormat="1" applyFont="1" applyFill="1" applyBorder="1" applyAlignment="1">
      <alignment horizontal="center"/>
    </xf>
    <xf numFmtId="0" fontId="4" fillId="2" borderId="5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3" fillId="2" borderId="2" xfId="0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/>
    <xf numFmtId="0" fontId="6" fillId="0" borderId="0" xfId="2" applyFont="1" applyBorder="1" applyAlignment="1" applyProtection="1">
      <protection locked="0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39" fontId="2" fillId="4" borderId="0" xfId="3" applyNumberFormat="1" applyFont="1" applyFill="1" applyBorder="1"/>
    <xf numFmtId="10" fontId="2" fillId="4" borderId="0" xfId="4" applyNumberFormat="1" applyFont="1" applyFill="1" applyBorder="1"/>
    <xf numFmtId="2" fontId="6" fillId="4" borderId="3" xfId="2" applyNumberFormat="1" applyFont="1" applyFill="1" applyBorder="1"/>
    <xf numFmtId="2" fontId="6" fillId="4" borderId="1" xfId="2" applyNumberFormat="1" applyFont="1" applyFill="1" applyBorder="1"/>
    <xf numFmtId="4" fontId="6" fillId="0" borderId="0" xfId="1" applyNumberFormat="1" applyFont="1" applyBorder="1" applyAlignment="1" applyProtection="1">
      <alignment horizontal="right"/>
      <protection locked="0"/>
    </xf>
    <xf numFmtId="10" fontId="6" fillId="0" borderId="0" xfId="6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44" fontId="9" fillId="0" borderId="0" xfId="3" applyFont="1"/>
    <xf numFmtId="44" fontId="12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4" fontId="8" fillId="0" borderId="8" xfId="0" applyNumberFormat="1" applyFont="1" applyBorder="1"/>
    <xf numFmtId="0" fontId="12" fillId="0" borderId="0" xfId="0" applyFont="1" applyAlignment="1">
      <alignment horizontal="center"/>
    </xf>
    <xf numFmtId="39" fontId="6" fillId="0" borderId="0" xfId="3" applyNumberFormat="1" applyFont="1" applyBorder="1" applyAlignment="1" applyProtection="1">
      <alignment horizontal="right"/>
      <protection locked="0"/>
    </xf>
    <xf numFmtId="0" fontId="13" fillId="4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/>
    <xf numFmtId="9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2" fontId="2" fillId="0" borderId="0" xfId="0" applyNumberFormat="1" applyFont="1" applyFill="1"/>
    <xf numFmtId="1" fontId="6" fillId="2" borderId="0" xfId="2" applyNumberFormat="1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2" xfId="2" applyFont="1" applyFill="1" applyBorder="1" applyAlignment="1">
      <alignment horizontal="left" vertical="center"/>
    </xf>
    <xf numFmtId="0" fontId="6" fillId="2" borderId="2" xfId="2" applyFont="1" applyFill="1" applyBorder="1"/>
    <xf numFmtId="0" fontId="6" fillId="0" borderId="0" xfId="2" applyFont="1" applyBorder="1" applyAlignment="1" applyProtection="1">
      <alignment horizontal="left"/>
      <protection locked="0"/>
    </xf>
  </cellXfs>
  <cellStyles count="7">
    <cellStyle name="Comma" xfId="1" builtinId="3"/>
    <cellStyle name="Comma 2" xfId="5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00CC"/>
      <color rgb="FF00FF00"/>
      <color rgb="FF99FF66"/>
      <color rgb="FF99CCFF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>
        <row r="6">
          <cell r="C6">
            <v>180</v>
          </cell>
        </row>
        <row r="7">
          <cell r="C7">
            <v>10.43</v>
          </cell>
        </row>
        <row r="8">
          <cell r="C8">
            <v>1.35</v>
          </cell>
        </row>
        <row r="9">
          <cell r="C9">
            <v>6.89</v>
          </cell>
        </row>
        <row r="10">
          <cell r="C10">
            <v>25</v>
          </cell>
        </row>
        <row r="11">
          <cell r="C11">
            <v>25</v>
          </cell>
        </row>
        <row r="12">
          <cell r="C12">
            <v>20</v>
          </cell>
        </row>
        <row r="13">
          <cell r="C13">
            <v>0.13</v>
          </cell>
        </row>
        <row r="14">
          <cell r="C14">
            <v>0.25</v>
          </cell>
        </row>
        <row r="17">
          <cell r="C17">
            <v>2.71</v>
          </cell>
        </row>
        <row r="20">
          <cell r="C20">
            <v>23.47</v>
          </cell>
        </row>
        <row r="21">
          <cell r="C21">
            <v>11.53</v>
          </cell>
        </row>
        <row r="25">
          <cell r="C25">
            <v>4.7500000000000001E-2</v>
          </cell>
        </row>
        <row r="26">
          <cell r="C26">
            <v>3.6249999999999998E-2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A81"/>
  <sheetViews>
    <sheetView tabSelected="1" zoomScaleNormal="100" workbookViewId="0"/>
  </sheetViews>
  <sheetFormatPr defaultColWidth="9" defaultRowHeight="17.399999999999999" x14ac:dyDescent="0.3"/>
  <cols>
    <col min="1" max="1" width="4.8984375" style="4" customWidth="1"/>
    <col min="2" max="2" width="1.19921875" style="1" customWidth="1"/>
    <col min="3" max="3" width="32.69921875" style="1" customWidth="1"/>
    <col min="4" max="4" width="12.5" style="1" customWidth="1"/>
    <col min="5" max="5" width="1.19921875" style="1" customWidth="1"/>
    <col min="6" max="6" width="12.5" style="2" customWidth="1"/>
    <col min="7" max="7" width="1.19921875" style="2" customWidth="1"/>
    <col min="8" max="8" width="16.5" style="2" customWidth="1"/>
    <col min="9" max="9" width="1.19921875" style="2" customWidth="1"/>
    <col min="10" max="10" width="12.5" style="2" customWidth="1"/>
    <col min="11" max="11" width="1.19921875" style="1" customWidth="1"/>
    <col min="12" max="13" width="17.5" style="1" customWidth="1"/>
    <col min="14" max="14" width="1.8984375" style="1" customWidth="1"/>
    <col min="15" max="15" width="17.5" style="1" customWidth="1"/>
    <col min="16" max="16" width="1.8984375" style="26" customWidth="1"/>
    <col min="17" max="17" width="1.8984375" style="12" customWidth="1"/>
    <col min="18" max="27" width="9" style="4"/>
    <col min="28" max="16384" width="9" style="1"/>
  </cols>
  <sheetData>
    <row r="1" spans="2:17" s="4" customFormat="1" x14ac:dyDescent="0.3">
      <c r="F1" s="5"/>
      <c r="G1" s="5"/>
      <c r="H1" s="5"/>
      <c r="I1" s="5"/>
      <c r="J1" s="5"/>
      <c r="P1" s="12"/>
      <c r="Q1" s="12"/>
    </row>
    <row r="2" spans="2:17" ht="30" customHeight="1" x14ac:dyDescent="0.3">
      <c r="B2" s="137" t="s">
        <v>88</v>
      </c>
      <c r="C2" s="137"/>
      <c r="D2" s="137"/>
      <c r="E2" s="137"/>
      <c r="F2" s="137"/>
      <c r="G2" s="137"/>
      <c r="H2" s="137"/>
      <c r="I2" s="137"/>
      <c r="J2" s="137"/>
      <c r="K2" s="137"/>
      <c r="L2" s="21"/>
      <c r="M2" s="22"/>
      <c r="N2" s="21"/>
      <c r="O2" s="23" t="s">
        <v>89</v>
      </c>
      <c r="P2" s="22"/>
    </row>
    <row r="3" spans="2:17" ht="30" customHeight="1" x14ac:dyDescent="0.3">
      <c r="B3" s="138" t="s">
        <v>64</v>
      </c>
      <c r="C3" s="138"/>
      <c r="D3" s="138"/>
      <c r="E3" s="138"/>
      <c r="F3" s="138"/>
      <c r="G3" s="138"/>
      <c r="H3" s="138"/>
      <c r="I3" s="138"/>
      <c r="J3" s="138"/>
      <c r="K3" s="138"/>
      <c r="L3" s="11" t="s">
        <v>51</v>
      </c>
      <c r="M3" s="14">
        <v>100</v>
      </c>
      <c r="N3" s="14"/>
      <c r="O3" s="24"/>
      <c r="P3" s="14"/>
      <c r="Q3" s="13"/>
    </row>
    <row r="4" spans="2:17" ht="3.75" customHeight="1" x14ac:dyDescent="0.3">
      <c r="B4" s="25"/>
      <c r="C4" s="139"/>
      <c r="D4" s="140"/>
      <c r="E4" s="140"/>
      <c r="F4" s="140"/>
      <c r="G4" s="15"/>
      <c r="H4" s="3"/>
      <c r="I4" s="3"/>
      <c r="J4" s="3"/>
      <c r="K4" s="15"/>
      <c r="L4" s="15"/>
      <c r="M4" s="15"/>
      <c r="N4" s="15"/>
      <c r="O4" s="25"/>
      <c r="P4" s="15"/>
    </row>
    <row r="5" spans="2:17" ht="22.5" customHeight="1" x14ac:dyDescent="0.3">
      <c r="B5" s="54"/>
      <c r="C5" s="92"/>
      <c r="D5" s="52"/>
      <c r="E5" s="52"/>
      <c r="F5" s="53"/>
      <c r="G5" s="53"/>
      <c r="H5" s="92" t="s">
        <v>8</v>
      </c>
      <c r="I5" s="92"/>
      <c r="J5" s="93"/>
      <c r="K5" s="93"/>
      <c r="L5" s="58"/>
      <c r="M5" s="59"/>
      <c r="N5" s="60"/>
      <c r="O5" s="61"/>
      <c r="P5" s="60"/>
      <c r="Q5" s="27"/>
    </row>
    <row r="6" spans="2:17" ht="22.5" customHeight="1" x14ac:dyDescent="0.3">
      <c r="B6" s="54"/>
      <c r="C6" s="94"/>
      <c r="D6" s="55" t="s">
        <v>7</v>
      </c>
      <c r="E6" s="55"/>
      <c r="F6" s="55"/>
      <c r="G6" s="55"/>
      <c r="H6" s="55" t="s">
        <v>6</v>
      </c>
      <c r="I6" s="55"/>
      <c r="J6" s="55" t="s">
        <v>2</v>
      </c>
      <c r="K6" s="55"/>
      <c r="L6" s="62" t="s">
        <v>10</v>
      </c>
      <c r="M6" s="62" t="s">
        <v>1</v>
      </c>
      <c r="N6" s="62"/>
      <c r="O6" s="61"/>
      <c r="P6" s="62"/>
      <c r="Q6" s="28"/>
    </row>
    <row r="7" spans="2:17" ht="22.5" customHeight="1" thickBot="1" x14ac:dyDescent="0.35">
      <c r="B7" s="54"/>
      <c r="C7" s="95"/>
      <c r="D7" s="96" t="s">
        <v>5</v>
      </c>
      <c r="E7" s="96"/>
      <c r="F7" s="56" t="s">
        <v>0</v>
      </c>
      <c r="G7" s="56"/>
      <c r="H7" s="56" t="s">
        <v>9</v>
      </c>
      <c r="I7" s="56"/>
      <c r="J7" s="56" t="s">
        <v>4</v>
      </c>
      <c r="K7" s="56"/>
      <c r="L7" s="63" t="s">
        <v>11</v>
      </c>
      <c r="M7" s="63" t="s">
        <v>3</v>
      </c>
      <c r="N7" s="63"/>
      <c r="O7" s="63" t="s">
        <v>49</v>
      </c>
      <c r="P7" s="62"/>
      <c r="Q7" s="28"/>
    </row>
    <row r="8" spans="2:17" ht="22.5" customHeight="1" thickBot="1" x14ac:dyDescent="0.35">
      <c r="B8" s="54"/>
      <c r="C8" s="83" t="s">
        <v>19</v>
      </c>
      <c r="D8" s="57"/>
      <c r="E8" s="54"/>
      <c r="F8" s="85"/>
      <c r="G8" s="85"/>
      <c r="H8" s="85"/>
      <c r="I8" s="85"/>
      <c r="J8" s="85"/>
      <c r="K8" s="54"/>
      <c r="L8" s="61"/>
      <c r="M8" s="61"/>
      <c r="N8" s="61"/>
      <c r="O8" s="61"/>
      <c r="P8" s="61"/>
    </row>
    <row r="9" spans="2:17" ht="22.5" customHeight="1" x14ac:dyDescent="0.3">
      <c r="B9" s="54"/>
      <c r="C9" s="7" t="s">
        <v>65</v>
      </c>
      <c r="D9" s="8">
        <v>1100</v>
      </c>
      <c r="E9" s="91"/>
      <c r="F9" s="6" t="s">
        <v>67</v>
      </c>
      <c r="G9" s="85"/>
      <c r="H9" s="6">
        <v>90</v>
      </c>
      <c r="I9" s="85"/>
      <c r="J9" s="126">
        <v>1450</v>
      </c>
      <c r="K9" s="108"/>
      <c r="L9" s="64">
        <f>J9*H9</f>
        <v>130500</v>
      </c>
      <c r="M9" s="65">
        <f>L9/$M$3</f>
        <v>1305</v>
      </c>
      <c r="N9" s="65"/>
      <c r="O9" s="66"/>
      <c r="P9" s="65"/>
      <c r="Q9" s="29"/>
    </row>
    <row r="10" spans="2:17" ht="22.5" customHeight="1" x14ac:dyDescent="0.3">
      <c r="B10" s="54"/>
      <c r="C10" s="7" t="s">
        <v>66</v>
      </c>
      <c r="D10" s="8">
        <v>1000</v>
      </c>
      <c r="E10" s="91"/>
      <c r="F10" s="6" t="s">
        <v>12</v>
      </c>
      <c r="G10" s="85"/>
      <c r="H10" s="6">
        <v>9</v>
      </c>
      <c r="I10" s="85"/>
      <c r="J10" s="10">
        <v>1</v>
      </c>
      <c r="K10" s="108"/>
      <c r="L10" s="64">
        <f>D10*H10*J10</f>
        <v>9000</v>
      </c>
      <c r="M10" s="65">
        <f>L10/$M$3</f>
        <v>90</v>
      </c>
      <c r="N10" s="65"/>
      <c r="O10" s="66"/>
      <c r="P10" s="65"/>
      <c r="Q10" s="29"/>
    </row>
    <row r="11" spans="2:17" ht="22.5" customHeight="1" thickBot="1" x14ac:dyDescent="0.35">
      <c r="B11" s="54"/>
      <c r="C11" s="83" t="s">
        <v>18</v>
      </c>
      <c r="D11" s="57"/>
      <c r="E11" s="57"/>
      <c r="F11" s="84"/>
      <c r="G11" s="84"/>
      <c r="H11" s="84"/>
      <c r="I11" s="84"/>
      <c r="J11" s="84"/>
      <c r="K11" s="57"/>
      <c r="L11" s="69">
        <f>SUM(L9:L10)</f>
        <v>139500</v>
      </c>
      <c r="M11" s="70">
        <f>SUM(M9:M10)</f>
        <v>1395</v>
      </c>
      <c r="N11" s="71"/>
      <c r="O11" s="72"/>
      <c r="P11" s="71"/>
      <c r="Q11" s="30"/>
    </row>
    <row r="12" spans="2:17" ht="22.5" customHeight="1" x14ac:dyDescent="0.3">
      <c r="B12" s="54"/>
      <c r="C12" s="54"/>
      <c r="D12" s="54"/>
      <c r="E12" s="54"/>
      <c r="F12" s="85"/>
      <c r="G12" s="85"/>
      <c r="H12" s="85"/>
      <c r="I12" s="85"/>
      <c r="J12" s="85"/>
      <c r="K12" s="54"/>
      <c r="L12" s="73"/>
      <c r="M12" s="65"/>
      <c r="N12" s="65"/>
      <c r="O12" s="61"/>
      <c r="P12" s="65"/>
      <c r="Q12" s="29"/>
    </row>
    <row r="13" spans="2:17" ht="22.5" customHeight="1" thickBot="1" x14ac:dyDescent="0.35">
      <c r="B13" s="54"/>
      <c r="C13" s="83" t="s">
        <v>20</v>
      </c>
      <c r="D13" s="57"/>
      <c r="E13" s="54"/>
      <c r="F13" s="85"/>
      <c r="G13" s="85"/>
      <c r="H13" s="85"/>
      <c r="I13" s="85"/>
      <c r="J13" s="85"/>
      <c r="K13" s="54"/>
      <c r="L13" s="74"/>
      <c r="M13" s="65"/>
      <c r="N13" s="65"/>
      <c r="O13" s="61"/>
      <c r="P13" s="65"/>
      <c r="Q13" s="29"/>
    </row>
    <row r="14" spans="2:17" ht="22.5" customHeight="1" x14ac:dyDescent="0.3">
      <c r="B14" s="54"/>
      <c r="C14" s="104" t="s">
        <v>68</v>
      </c>
      <c r="D14" s="6">
        <v>500</v>
      </c>
      <c r="E14" s="54"/>
      <c r="F14" s="6" t="s">
        <v>12</v>
      </c>
      <c r="G14" s="85"/>
      <c r="H14" s="9">
        <v>100</v>
      </c>
      <c r="I14" s="85"/>
      <c r="J14" s="112">
        <v>1.7</v>
      </c>
      <c r="K14" s="91"/>
      <c r="L14" s="64">
        <f>D14*H14*J14</f>
        <v>85000</v>
      </c>
      <c r="M14" s="65">
        <f t="shared" ref="M14:M29" si="0">L14/$M$3</f>
        <v>850</v>
      </c>
      <c r="N14" s="65"/>
      <c r="O14" s="75"/>
      <c r="P14" s="65"/>
      <c r="Q14" s="29"/>
    </row>
    <row r="15" spans="2:17" ht="22.5" customHeight="1" x14ac:dyDescent="0.3">
      <c r="B15" s="54"/>
      <c r="C15" s="141" t="s">
        <v>50</v>
      </c>
      <c r="D15" s="141"/>
      <c r="E15" s="54"/>
      <c r="F15" s="6" t="s">
        <v>13</v>
      </c>
      <c r="G15" s="85"/>
      <c r="H15" s="9">
        <v>251</v>
      </c>
      <c r="I15" s="127"/>
      <c r="J15" s="112">
        <v>150</v>
      </c>
      <c r="K15" s="91"/>
      <c r="L15" s="64">
        <f>H15*J15</f>
        <v>37650</v>
      </c>
      <c r="M15" s="65">
        <f t="shared" ref="M15" si="1">L15/$M$3</f>
        <v>376.5</v>
      </c>
      <c r="N15" s="65"/>
      <c r="O15" s="75"/>
      <c r="P15" s="65"/>
      <c r="Q15" s="29"/>
    </row>
    <row r="16" spans="2:17" ht="22.5" customHeight="1" x14ac:dyDescent="0.3">
      <c r="B16" s="54"/>
      <c r="C16" s="141" t="s">
        <v>73</v>
      </c>
      <c r="D16" s="141"/>
      <c r="E16" s="54"/>
      <c r="F16" s="6" t="s">
        <v>14</v>
      </c>
      <c r="G16" s="85"/>
      <c r="H16" s="9">
        <v>0</v>
      </c>
      <c r="I16" s="127"/>
      <c r="J16" s="112">
        <v>13</v>
      </c>
      <c r="K16" s="91"/>
      <c r="L16" s="64">
        <f t="shared" ref="L16:L17" si="2">H16*J16</f>
        <v>0</v>
      </c>
      <c r="M16" s="65">
        <f t="shared" ref="M16:M17" si="3">L16/$M$3</f>
        <v>0</v>
      </c>
      <c r="N16" s="65"/>
      <c r="O16" s="75"/>
      <c r="P16" s="65"/>
      <c r="Q16" s="29"/>
    </row>
    <row r="17" spans="2:17" ht="22.5" customHeight="1" x14ac:dyDescent="0.3">
      <c r="B17" s="54"/>
      <c r="C17" s="141" t="s">
        <v>53</v>
      </c>
      <c r="D17" s="141"/>
      <c r="E17" s="54"/>
      <c r="F17" s="6" t="s">
        <v>86</v>
      </c>
      <c r="G17" s="85"/>
      <c r="H17" s="9">
        <f>7*30*M3</f>
        <v>21000</v>
      </c>
      <c r="I17" s="127"/>
      <c r="J17" s="112">
        <v>0.35</v>
      </c>
      <c r="K17" s="91"/>
      <c r="L17" s="64">
        <f t="shared" si="2"/>
        <v>7349.9999999999991</v>
      </c>
      <c r="M17" s="65">
        <f t="shared" si="3"/>
        <v>73.499999999999986</v>
      </c>
      <c r="N17" s="65"/>
      <c r="O17" s="75"/>
      <c r="P17" s="65"/>
      <c r="Q17" s="29"/>
    </row>
    <row r="18" spans="2:17" ht="22.5" customHeight="1" x14ac:dyDescent="0.3">
      <c r="B18" s="54"/>
      <c r="C18" s="141" t="s">
        <v>52</v>
      </c>
      <c r="D18" s="141"/>
      <c r="E18" s="54"/>
      <c r="F18" s="6" t="s">
        <v>85</v>
      </c>
      <c r="G18" s="85"/>
      <c r="H18" s="9">
        <v>550</v>
      </c>
      <c r="I18" s="127"/>
      <c r="J18" s="112">
        <v>20</v>
      </c>
      <c r="K18" s="91"/>
      <c r="L18" s="64">
        <f t="shared" ref="L18:L26" si="4">H18*J18</f>
        <v>11000</v>
      </c>
      <c r="M18" s="65">
        <f t="shared" si="0"/>
        <v>110</v>
      </c>
      <c r="N18" s="65"/>
      <c r="O18" s="75"/>
      <c r="P18" s="65"/>
      <c r="Q18" s="29"/>
    </row>
    <row r="19" spans="2:17" ht="22.5" customHeight="1" x14ac:dyDescent="0.3">
      <c r="B19" s="54"/>
      <c r="C19" s="141" t="s">
        <v>54</v>
      </c>
      <c r="D19" s="141"/>
      <c r="E19" s="54"/>
      <c r="F19" s="6" t="s">
        <v>15</v>
      </c>
      <c r="G19" s="85"/>
      <c r="H19" s="9">
        <v>100</v>
      </c>
      <c r="I19" s="127"/>
      <c r="J19" s="112">
        <v>15</v>
      </c>
      <c r="K19" s="91"/>
      <c r="L19" s="64">
        <f t="shared" si="4"/>
        <v>1500</v>
      </c>
      <c r="M19" s="65">
        <f t="shared" si="0"/>
        <v>15</v>
      </c>
      <c r="N19" s="65"/>
      <c r="O19" s="75"/>
      <c r="P19" s="65"/>
      <c r="Q19" s="29"/>
    </row>
    <row r="20" spans="2:17" ht="22.5" customHeight="1" x14ac:dyDescent="0.3">
      <c r="B20" s="54"/>
      <c r="C20" s="141" t="s">
        <v>55</v>
      </c>
      <c r="D20" s="141"/>
      <c r="E20" s="54"/>
      <c r="F20" s="6" t="s">
        <v>15</v>
      </c>
      <c r="G20" s="85"/>
      <c r="H20" s="9">
        <v>100</v>
      </c>
      <c r="I20" s="127"/>
      <c r="J20" s="112">
        <f>'Vet&amp;Breeding'!T16</f>
        <v>29.125</v>
      </c>
      <c r="K20" s="91"/>
      <c r="L20" s="64">
        <f t="shared" si="4"/>
        <v>2912.5</v>
      </c>
      <c r="M20" s="65">
        <f t="shared" si="0"/>
        <v>29.125</v>
      </c>
      <c r="N20" s="65"/>
      <c r="O20" s="75"/>
      <c r="P20" s="65"/>
      <c r="Q20" s="29"/>
    </row>
    <row r="21" spans="2:17" ht="22.5" customHeight="1" x14ac:dyDescent="0.3">
      <c r="B21" s="54"/>
      <c r="C21" s="141" t="s">
        <v>72</v>
      </c>
      <c r="D21" s="141"/>
      <c r="E21" s="54"/>
      <c r="F21" s="6" t="s">
        <v>15</v>
      </c>
      <c r="G21" s="85"/>
      <c r="H21" s="9">
        <v>100</v>
      </c>
      <c r="I21" s="127"/>
      <c r="J21" s="112">
        <f>'Vet&amp;Breeding'!T31</f>
        <v>69.900000000000006</v>
      </c>
      <c r="K21" s="91"/>
      <c r="L21" s="64">
        <f t="shared" ref="L21" si="5">H21*J21</f>
        <v>6990.0000000000009</v>
      </c>
      <c r="M21" s="65">
        <f t="shared" ref="M21" si="6">L21/$M$3</f>
        <v>69.900000000000006</v>
      </c>
      <c r="N21" s="65"/>
      <c r="O21" s="75"/>
      <c r="P21" s="65"/>
      <c r="Q21" s="29"/>
    </row>
    <row r="22" spans="2:17" ht="22.5" customHeight="1" x14ac:dyDescent="0.3">
      <c r="B22" s="54"/>
      <c r="C22" s="141" t="s">
        <v>25</v>
      </c>
      <c r="D22" s="141"/>
      <c r="E22" s="54"/>
      <c r="F22" s="6" t="s">
        <v>17</v>
      </c>
      <c r="G22" s="85"/>
      <c r="H22" s="9">
        <v>200</v>
      </c>
      <c r="I22" s="127"/>
      <c r="J22" s="112">
        <v>17.5</v>
      </c>
      <c r="K22" s="91"/>
      <c r="L22" s="64">
        <f>H22*J22</f>
        <v>3500</v>
      </c>
      <c r="M22" s="65">
        <f t="shared" si="0"/>
        <v>35</v>
      </c>
      <c r="N22" s="65"/>
      <c r="O22" s="75"/>
      <c r="P22" s="65"/>
      <c r="Q22" s="29"/>
    </row>
    <row r="23" spans="2:17" ht="22.5" customHeight="1" x14ac:dyDescent="0.3">
      <c r="B23" s="54"/>
      <c r="C23" s="141" t="s">
        <v>23</v>
      </c>
      <c r="D23" s="141"/>
      <c r="E23" s="54"/>
      <c r="F23" s="6" t="s">
        <v>14</v>
      </c>
      <c r="G23" s="85"/>
      <c r="H23" s="9">
        <v>27</v>
      </c>
      <c r="I23" s="127"/>
      <c r="J23" s="112">
        <v>18</v>
      </c>
      <c r="K23" s="91"/>
      <c r="L23" s="64">
        <f t="shared" si="4"/>
        <v>486</v>
      </c>
      <c r="M23" s="65">
        <f t="shared" si="0"/>
        <v>4.8600000000000003</v>
      </c>
      <c r="N23" s="65"/>
      <c r="O23" s="75"/>
      <c r="P23" s="65"/>
      <c r="Q23" s="29"/>
    </row>
    <row r="24" spans="2:17" ht="22.5" customHeight="1" x14ac:dyDescent="0.3">
      <c r="B24" s="54"/>
      <c r="C24" s="141" t="s">
        <v>57</v>
      </c>
      <c r="D24" s="141"/>
      <c r="E24" s="54"/>
      <c r="F24" s="6" t="s">
        <v>15</v>
      </c>
      <c r="G24" s="85"/>
      <c r="H24" s="9">
        <v>99</v>
      </c>
      <c r="I24" s="85"/>
      <c r="J24" s="112">
        <v>2.96</v>
      </c>
      <c r="K24" s="91"/>
      <c r="L24" s="64">
        <f t="shared" si="4"/>
        <v>293.04000000000002</v>
      </c>
      <c r="M24" s="65">
        <f t="shared" si="0"/>
        <v>2.9304000000000001</v>
      </c>
      <c r="N24" s="65"/>
      <c r="O24" s="75"/>
      <c r="P24" s="65"/>
      <c r="Q24" s="29"/>
    </row>
    <row r="25" spans="2:17" ht="22.5" customHeight="1" x14ac:dyDescent="0.3">
      <c r="B25" s="54"/>
      <c r="C25" s="141" t="s">
        <v>84</v>
      </c>
      <c r="D25" s="141"/>
      <c r="E25" s="54"/>
      <c r="F25" s="6" t="s">
        <v>15</v>
      </c>
      <c r="G25" s="85"/>
      <c r="H25" s="9">
        <v>9</v>
      </c>
      <c r="I25" s="85"/>
      <c r="J25" s="112">
        <f>D10*J10*0.025</f>
        <v>25</v>
      </c>
      <c r="K25" s="91"/>
      <c r="L25" s="64">
        <f t="shared" ref="L25" si="7">H25*J25</f>
        <v>225</v>
      </c>
      <c r="M25" s="65">
        <f t="shared" ref="M25" si="8">L25/$M$3</f>
        <v>2.25</v>
      </c>
      <c r="N25" s="65"/>
      <c r="O25" s="75"/>
      <c r="P25" s="65"/>
      <c r="Q25" s="29"/>
    </row>
    <row r="26" spans="2:17" ht="22.5" customHeight="1" x14ac:dyDescent="0.3">
      <c r="B26" s="54"/>
      <c r="C26" s="141" t="s">
        <v>56</v>
      </c>
      <c r="D26" s="141"/>
      <c r="E26" s="54"/>
      <c r="F26" s="6" t="s">
        <v>15</v>
      </c>
      <c r="G26" s="85"/>
      <c r="H26" s="9">
        <v>100</v>
      </c>
      <c r="I26" s="85"/>
      <c r="J26" s="112">
        <v>10</v>
      </c>
      <c r="K26" s="91"/>
      <c r="L26" s="64">
        <f t="shared" si="4"/>
        <v>1000</v>
      </c>
      <c r="M26" s="65">
        <f t="shared" si="0"/>
        <v>10</v>
      </c>
      <c r="N26" s="65"/>
      <c r="O26" s="75"/>
      <c r="P26" s="65"/>
      <c r="Q26" s="29"/>
    </row>
    <row r="27" spans="2:17" ht="22.5" customHeight="1" x14ac:dyDescent="0.3">
      <c r="B27" s="54"/>
      <c r="C27" s="141"/>
      <c r="D27" s="141"/>
      <c r="E27" s="54"/>
      <c r="F27" s="6"/>
      <c r="G27" s="85"/>
      <c r="H27" s="9"/>
      <c r="I27" s="85"/>
      <c r="J27" s="112"/>
      <c r="K27" s="91"/>
      <c r="L27" s="64"/>
      <c r="M27" s="65"/>
      <c r="N27" s="65"/>
      <c r="O27" s="75"/>
      <c r="P27" s="65"/>
      <c r="Q27" s="29"/>
    </row>
    <row r="28" spans="2:17" ht="22.5" customHeight="1" x14ac:dyDescent="0.3">
      <c r="B28" s="54"/>
      <c r="C28" s="141" t="s">
        <v>24</v>
      </c>
      <c r="D28" s="141"/>
      <c r="E28" s="54"/>
      <c r="F28" s="6" t="s">
        <v>16</v>
      </c>
      <c r="G28" s="85"/>
      <c r="H28" s="9">
        <f>SUM(L14:L27)*0.75</f>
        <v>118429.905</v>
      </c>
      <c r="I28" s="97"/>
      <c r="J28" s="113">
        <v>7.0000000000000007E-2</v>
      </c>
      <c r="K28" s="109"/>
      <c r="L28" s="67">
        <f>H28*J28*0.75</f>
        <v>6217.5700125000003</v>
      </c>
      <c r="M28" s="68">
        <f t="shared" si="0"/>
        <v>62.175700125000006</v>
      </c>
      <c r="N28" s="65"/>
      <c r="O28" s="75"/>
      <c r="P28" s="65"/>
      <c r="Q28" s="29"/>
    </row>
    <row r="29" spans="2:17" ht="22.5" customHeight="1" thickBot="1" x14ac:dyDescent="0.35">
      <c r="B29" s="54"/>
      <c r="C29" s="83" t="s">
        <v>21</v>
      </c>
      <c r="D29" s="57"/>
      <c r="E29" s="57"/>
      <c r="F29" s="84"/>
      <c r="G29" s="84"/>
      <c r="H29" s="84"/>
      <c r="I29" s="84"/>
      <c r="J29" s="88"/>
      <c r="K29" s="110"/>
      <c r="L29" s="76">
        <f>SUM(L14:L28)</f>
        <v>164124.11001250002</v>
      </c>
      <c r="M29" s="77">
        <f t="shared" si="0"/>
        <v>1641.2411001250002</v>
      </c>
      <c r="N29" s="78"/>
      <c r="O29" s="72"/>
      <c r="P29" s="78"/>
      <c r="Q29" s="31"/>
    </row>
    <row r="30" spans="2:17" ht="22.5" customHeight="1" x14ac:dyDescent="0.3">
      <c r="B30" s="54"/>
      <c r="C30" s="86"/>
      <c r="D30" s="86"/>
      <c r="E30" s="86"/>
      <c r="F30" s="87"/>
      <c r="G30" s="87"/>
      <c r="H30" s="87"/>
      <c r="I30" s="87"/>
      <c r="J30" s="89"/>
      <c r="K30" s="111"/>
      <c r="L30" s="79"/>
      <c r="M30" s="80"/>
      <c r="N30" s="65"/>
      <c r="O30" s="61"/>
      <c r="P30" s="65"/>
      <c r="Q30" s="29"/>
    </row>
    <row r="31" spans="2:17" ht="22.5" customHeight="1" thickBot="1" x14ac:dyDescent="0.35">
      <c r="B31" s="54"/>
      <c r="C31" s="83" t="s">
        <v>22</v>
      </c>
      <c r="D31" s="57"/>
      <c r="E31" s="57"/>
      <c r="F31" s="84"/>
      <c r="G31" s="84"/>
      <c r="H31" s="84"/>
      <c r="I31" s="84"/>
      <c r="J31" s="88"/>
      <c r="K31" s="110"/>
      <c r="L31" s="81">
        <f>L11-L29</f>
        <v>-24624.110012500023</v>
      </c>
      <c r="M31" s="77">
        <f>L31/$M$3</f>
        <v>-246.24110012500023</v>
      </c>
      <c r="N31" s="78"/>
      <c r="O31" s="82"/>
      <c r="P31" s="78"/>
      <c r="Q31" s="31"/>
    </row>
    <row r="32" spans="2:17" ht="22.5" customHeight="1" x14ac:dyDescent="0.3">
      <c r="B32" s="54"/>
      <c r="C32" s="54"/>
      <c r="D32" s="54"/>
      <c r="E32" s="54"/>
      <c r="F32" s="85"/>
      <c r="G32" s="85"/>
      <c r="H32" s="85"/>
      <c r="I32" s="85"/>
      <c r="J32" s="90"/>
      <c r="K32" s="91"/>
      <c r="L32" s="74"/>
      <c r="M32" s="65"/>
      <c r="N32" s="65"/>
      <c r="O32" s="61"/>
      <c r="P32" s="65"/>
      <c r="Q32" s="29"/>
    </row>
    <row r="33" spans="6:17" s="4" customFormat="1" x14ac:dyDescent="0.3">
      <c r="F33" s="5"/>
      <c r="G33" s="5"/>
      <c r="H33" s="5"/>
      <c r="I33" s="5"/>
      <c r="J33" s="5"/>
      <c r="P33" s="12"/>
      <c r="Q33" s="12"/>
    </row>
    <row r="34" spans="6:17" s="4" customFormat="1" x14ac:dyDescent="0.3">
      <c r="F34" s="5"/>
      <c r="G34" s="5"/>
      <c r="H34" s="5"/>
      <c r="I34" s="5"/>
      <c r="J34" s="5"/>
      <c r="P34" s="12"/>
      <c r="Q34" s="12"/>
    </row>
    <row r="35" spans="6:17" s="4" customFormat="1" x14ac:dyDescent="0.3">
      <c r="F35" s="5"/>
      <c r="G35" s="5"/>
      <c r="H35" s="5"/>
      <c r="I35" s="5"/>
      <c r="J35" s="5"/>
      <c r="P35" s="12"/>
      <c r="Q35" s="12"/>
    </row>
    <row r="36" spans="6:17" s="4" customFormat="1" x14ac:dyDescent="0.3">
      <c r="F36" s="5"/>
      <c r="G36" s="5"/>
      <c r="H36" s="5"/>
      <c r="I36" s="5"/>
      <c r="J36" s="5"/>
      <c r="P36" s="12"/>
      <c r="Q36" s="12"/>
    </row>
    <row r="37" spans="6:17" s="4" customFormat="1" x14ac:dyDescent="0.3">
      <c r="F37" s="5"/>
      <c r="G37" s="5"/>
      <c r="H37" s="5"/>
      <c r="I37" s="5"/>
      <c r="J37" s="5"/>
      <c r="P37" s="12"/>
      <c r="Q37" s="12"/>
    </row>
    <row r="38" spans="6:17" s="4" customFormat="1" x14ac:dyDescent="0.3">
      <c r="F38" s="5"/>
      <c r="G38" s="5"/>
      <c r="H38" s="5"/>
      <c r="I38" s="5"/>
      <c r="J38" s="5"/>
      <c r="P38" s="12"/>
      <c r="Q38" s="12"/>
    </row>
    <row r="39" spans="6:17" s="4" customFormat="1" x14ac:dyDescent="0.3">
      <c r="F39" s="5"/>
      <c r="G39" s="5"/>
      <c r="H39" s="5"/>
      <c r="I39" s="5"/>
      <c r="J39" s="5"/>
      <c r="P39" s="12"/>
      <c r="Q39" s="12"/>
    </row>
    <row r="40" spans="6:17" s="4" customFormat="1" x14ac:dyDescent="0.3">
      <c r="F40" s="5"/>
      <c r="G40" s="5"/>
      <c r="H40" s="5"/>
      <c r="I40" s="5"/>
      <c r="J40" s="5"/>
      <c r="P40" s="12"/>
      <c r="Q40" s="12"/>
    </row>
    <row r="41" spans="6:17" s="4" customFormat="1" x14ac:dyDescent="0.3">
      <c r="F41" s="5"/>
      <c r="G41" s="5"/>
      <c r="H41" s="5"/>
      <c r="I41" s="5"/>
      <c r="J41" s="5"/>
      <c r="P41" s="12"/>
      <c r="Q41" s="12"/>
    </row>
    <row r="42" spans="6:17" s="4" customFormat="1" x14ac:dyDescent="0.3">
      <c r="F42" s="5"/>
      <c r="G42" s="5"/>
      <c r="H42" s="5"/>
      <c r="I42" s="5"/>
      <c r="J42" s="5"/>
      <c r="P42" s="12"/>
      <c r="Q42" s="12"/>
    </row>
    <row r="43" spans="6:17" s="4" customFormat="1" x14ac:dyDescent="0.3">
      <c r="F43" s="5"/>
      <c r="G43" s="5"/>
      <c r="H43" s="5"/>
      <c r="I43" s="5"/>
      <c r="J43" s="5"/>
      <c r="P43" s="12"/>
      <c r="Q43" s="12"/>
    </row>
    <row r="44" spans="6:17" s="4" customFormat="1" x14ac:dyDescent="0.3">
      <c r="F44" s="5"/>
      <c r="G44" s="5"/>
      <c r="H44" s="5"/>
      <c r="I44" s="5"/>
      <c r="J44" s="5"/>
      <c r="P44" s="12"/>
      <c r="Q44" s="12"/>
    </row>
    <row r="45" spans="6:17" s="4" customFormat="1" x14ac:dyDescent="0.3">
      <c r="F45" s="5"/>
      <c r="G45" s="5"/>
      <c r="H45" s="5"/>
      <c r="I45" s="5"/>
      <c r="J45" s="5"/>
      <c r="P45" s="12"/>
      <c r="Q45" s="12"/>
    </row>
    <row r="46" spans="6:17" s="4" customFormat="1" x14ac:dyDescent="0.3">
      <c r="F46" s="5"/>
      <c r="G46" s="5"/>
      <c r="H46" s="5"/>
      <c r="I46" s="5"/>
      <c r="J46" s="5"/>
      <c r="P46" s="12"/>
      <c r="Q46" s="12"/>
    </row>
    <row r="47" spans="6:17" s="4" customFormat="1" x14ac:dyDescent="0.3">
      <c r="F47" s="5"/>
      <c r="G47" s="5"/>
      <c r="H47" s="5"/>
      <c r="I47" s="5"/>
      <c r="J47" s="5"/>
      <c r="P47" s="12"/>
      <c r="Q47" s="12"/>
    </row>
    <row r="48" spans="6:17" s="4" customFormat="1" x14ac:dyDescent="0.3">
      <c r="F48" s="5"/>
      <c r="G48" s="5"/>
      <c r="H48" s="5"/>
      <c r="I48" s="5"/>
      <c r="J48" s="5"/>
      <c r="P48" s="12"/>
      <c r="Q48" s="12"/>
    </row>
    <row r="49" spans="6:17" s="4" customFormat="1" x14ac:dyDescent="0.3">
      <c r="F49" s="5"/>
      <c r="G49" s="5"/>
      <c r="H49" s="5"/>
      <c r="I49" s="5"/>
      <c r="J49" s="5"/>
      <c r="P49" s="12"/>
      <c r="Q49" s="12"/>
    </row>
    <row r="50" spans="6:17" s="4" customFormat="1" x14ac:dyDescent="0.3">
      <c r="F50" s="5"/>
      <c r="G50" s="5"/>
      <c r="H50" s="5"/>
      <c r="I50" s="5"/>
      <c r="J50" s="5"/>
      <c r="P50" s="12"/>
      <c r="Q50" s="12"/>
    </row>
    <row r="51" spans="6:17" s="4" customFormat="1" x14ac:dyDescent="0.3">
      <c r="F51" s="5"/>
      <c r="G51" s="5"/>
      <c r="H51" s="5"/>
      <c r="I51" s="5"/>
      <c r="J51" s="5"/>
      <c r="P51" s="12"/>
      <c r="Q51" s="12"/>
    </row>
    <row r="52" spans="6:17" s="4" customFormat="1" x14ac:dyDescent="0.3">
      <c r="F52" s="5"/>
      <c r="G52" s="5"/>
      <c r="H52" s="5"/>
      <c r="I52" s="5"/>
      <c r="J52" s="5"/>
      <c r="P52" s="12"/>
      <c r="Q52" s="12"/>
    </row>
    <row r="53" spans="6:17" s="4" customFormat="1" x14ac:dyDescent="0.3">
      <c r="F53" s="5"/>
      <c r="G53" s="5"/>
      <c r="H53" s="5"/>
      <c r="I53" s="5"/>
      <c r="J53" s="5"/>
      <c r="P53" s="12"/>
      <c r="Q53" s="12"/>
    </row>
    <row r="54" spans="6:17" s="4" customFormat="1" x14ac:dyDescent="0.3">
      <c r="F54" s="5"/>
      <c r="G54" s="5"/>
      <c r="H54" s="5"/>
      <c r="I54" s="5"/>
      <c r="J54" s="5"/>
      <c r="P54" s="12"/>
      <c r="Q54" s="12"/>
    </row>
    <row r="55" spans="6:17" s="4" customFormat="1" x14ac:dyDescent="0.3">
      <c r="F55" s="5"/>
      <c r="G55" s="5"/>
      <c r="H55" s="5"/>
      <c r="I55" s="5"/>
      <c r="J55" s="5"/>
      <c r="P55" s="12"/>
      <c r="Q55" s="12"/>
    </row>
    <row r="56" spans="6:17" s="4" customFormat="1" x14ac:dyDescent="0.3">
      <c r="F56" s="5"/>
      <c r="G56" s="5"/>
      <c r="H56" s="5"/>
      <c r="I56" s="5"/>
      <c r="J56" s="5"/>
      <c r="P56" s="12"/>
      <c r="Q56" s="12"/>
    </row>
    <row r="57" spans="6:17" s="4" customFormat="1" x14ac:dyDescent="0.3">
      <c r="F57" s="5"/>
      <c r="G57" s="5"/>
      <c r="H57" s="5"/>
      <c r="I57" s="5"/>
      <c r="J57" s="5"/>
      <c r="P57" s="12"/>
      <c r="Q57" s="12"/>
    </row>
    <row r="58" spans="6:17" s="4" customFormat="1" x14ac:dyDescent="0.3">
      <c r="F58" s="5"/>
      <c r="G58" s="5"/>
      <c r="H58" s="5"/>
      <c r="I58" s="5"/>
      <c r="J58" s="5"/>
      <c r="P58" s="12"/>
      <c r="Q58" s="12"/>
    </row>
    <row r="59" spans="6:17" s="4" customFormat="1" x14ac:dyDescent="0.3">
      <c r="F59" s="5"/>
      <c r="G59" s="5"/>
      <c r="H59" s="5"/>
      <c r="I59" s="5"/>
      <c r="J59" s="5"/>
      <c r="P59" s="12"/>
      <c r="Q59" s="12"/>
    </row>
    <row r="60" spans="6:17" s="4" customFormat="1" x14ac:dyDescent="0.3">
      <c r="F60" s="5"/>
      <c r="G60" s="5"/>
      <c r="H60" s="5"/>
      <c r="I60" s="5"/>
      <c r="J60" s="5"/>
      <c r="P60" s="12"/>
      <c r="Q60" s="12"/>
    </row>
    <row r="61" spans="6:17" s="4" customFormat="1" x14ac:dyDescent="0.3">
      <c r="F61" s="5"/>
      <c r="G61" s="5"/>
      <c r="H61" s="5"/>
      <c r="I61" s="5"/>
      <c r="J61" s="5"/>
      <c r="P61" s="12"/>
      <c r="Q61" s="12"/>
    </row>
    <row r="62" spans="6:17" s="4" customFormat="1" x14ac:dyDescent="0.3">
      <c r="F62" s="5"/>
      <c r="G62" s="5"/>
      <c r="H62" s="5"/>
      <c r="I62" s="5"/>
      <c r="J62" s="5"/>
      <c r="P62" s="12"/>
      <c r="Q62" s="12"/>
    </row>
    <row r="63" spans="6:17" s="4" customFormat="1" x14ac:dyDescent="0.3">
      <c r="F63" s="5"/>
      <c r="G63" s="5"/>
      <c r="H63" s="5"/>
      <c r="I63" s="5"/>
      <c r="J63" s="5"/>
      <c r="P63" s="12"/>
      <c r="Q63" s="12"/>
    </row>
    <row r="64" spans="6:17" s="4" customFormat="1" x14ac:dyDescent="0.3">
      <c r="F64" s="5"/>
      <c r="G64" s="5"/>
      <c r="H64" s="5"/>
      <c r="I64" s="5"/>
      <c r="J64" s="5"/>
      <c r="P64" s="12"/>
      <c r="Q64" s="12"/>
    </row>
    <row r="65" spans="6:17" s="4" customFormat="1" x14ac:dyDescent="0.3">
      <c r="F65" s="5"/>
      <c r="G65" s="5"/>
      <c r="H65" s="5"/>
      <c r="I65" s="5"/>
      <c r="J65" s="5"/>
      <c r="P65" s="12"/>
      <c r="Q65" s="12"/>
    </row>
    <row r="66" spans="6:17" s="4" customFormat="1" x14ac:dyDescent="0.3">
      <c r="F66" s="5"/>
      <c r="G66" s="5"/>
      <c r="H66" s="5"/>
      <c r="I66" s="5"/>
      <c r="J66" s="5"/>
      <c r="P66" s="12"/>
      <c r="Q66" s="12"/>
    </row>
    <row r="67" spans="6:17" s="4" customFormat="1" x14ac:dyDescent="0.3">
      <c r="F67" s="5"/>
      <c r="G67" s="5"/>
      <c r="H67" s="5"/>
      <c r="I67" s="5"/>
      <c r="J67" s="5"/>
      <c r="P67" s="12"/>
      <c r="Q67" s="12"/>
    </row>
    <row r="68" spans="6:17" s="4" customFormat="1" x14ac:dyDescent="0.3">
      <c r="F68" s="5"/>
      <c r="G68" s="5"/>
      <c r="H68" s="5"/>
      <c r="I68" s="5"/>
      <c r="J68" s="5"/>
      <c r="P68" s="12"/>
      <c r="Q68" s="12"/>
    </row>
    <row r="69" spans="6:17" s="4" customFormat="1" x14ac:dyDescent="0.3">
      <c r="F69" s="5"/>
      <c r="G69" s="5"/>
      <c r="H69" s="5"/>
      <c r="I69" s="5"/>
      <c r="J69" s="5"/>
      <c r="P69" s="12"/>
      <c r="Q69" s="12"/>
    </row>
    <row r="70" spans="6:17" s="4" customFormat="1" x14ac:dyDescent="0.3">
      <c r="F70" s="5"/>
      <c r="G70" s="5"/>
      <c r="H70" s="5"/>
      <c r="I70" s="5"/>
      <c r="J70" s="5"/>
      <c r="P70" s="12"/>
      <c r="Q70" s="12"/>
    </row>
    <row r="71" spans="6:17" s="4" customFormat="1" x14ac:dyDescent="0.3">
      <c r="F71" s="5"/>
      <c r="G71" s="5"/>
      <c r="H71" s="5"/>
      <c r="I71" s="5"/>
      <c r="J71" s="5"/>
      <c r="P71" s="12"/>
      <c r="Q71" s="12"/>
    </row>
    <row r="72" spans="6:17" s="4" customFormat="1" x14ac:dyDescent="0.3">
      <c r="F72" s="5"/>
      <c r="G72" s="5"/>
      <c r="H72" s="5"/>
      <c r="I72" s="5"/>
      <c r="J72" s="5"/>
      <c r="P72" s="12"/>
      <c r="Q72" s="12"/>
    </row>
    <row r="73" spans="6:17" s="4" customFormat="1" x14ac:dyDescent="0.3">
      <c r="F73" s="5"/>
      <c r="G73" s="5"/>
      <c r="H73" s="5"/>
      <c r="I73" s="5"/>
      <c r="J73" s="5"/>
      <c r="P73" s="12"/>
      <c r="Q73" s="12"/>
    </row>
    <row r="74" spans="6:17" s="4" customFormat="1" x14ac:dyDescent="0.3">
      <c r="F74" s="5"/>
      <c r="G74" s="5"/>
      <c r="H74" s="5"/>
      <c r="I74" s="5"/>
      <c r="J74" s="5"/>
      <c r="P74" s="12"/>
      <c r="Q74" s="12"/>
    </row>
    <row r="75" spans="6:17" s="4" customFormat="1" x14ac:dyDescent="0.3">
      <c r="F75" s="5"/>
      <c r="G75" s="5"/>
      <c r="H75" s="5"/>
      <c r="I75" s="5"/>
      <c r="J75" s="5"/>
      <c r="P75" s="12"/>
      <c r="Q75" s="12"/>
    </row>
    <row r="76" spans="6:17" s="4" customFormat="1" x14ac:dyDescent="0.3">
      <c r="F76" s="5"/>
      <c r="G76" s="5"/>
      <c r="H76" s="5"/>
      <c r="I76" s="5"/>
      <c r="J76" s="5"/>
      <c r="P76" s="12"/>
      <c r="Q76" s="12"/>
    </row>
    <row r="77" spans="6:17" s="4" customFormat="1" x14ac:dyDescent="0.3">
      <c r="F77" s="5"/>
      <c r="G77" s="5"/>
      <c r="H77" s="5"/>
      <c r="I77" s="5"/>
      <c r="J77" s="5"/>
      <c r="P77" s="12"/>
      <c r="Q77" s="12"/>
    </row>
    <row r="78" spans="6:17" s="4" customFormat="1" x14ac:dyDescent="0.3">
      <c r="F78" s="5"/>
      <c r="G78" s="5"/>
      <c r="H78" s="5"/>
      <c r="I78" s="5"/>
      <c r="J78" s="5"/>
      <c r="P78" s="12"/>
      <c r="Q78" s="12"/>
    </row>
    <row r="79" spans="6:17" s="4" customFormat="1" x14ac:dyDescent="0.3">
      <c r="F79" s="5"/>
      <c r="G79" s="5"/>
      <c r="H79" s="5"/>
      <c r="I79" s="5"/>
      <c r="J79" s="5"/>
      <c r="P79" s="12"/>
      <c r="Q79" s="12"/>
    </row>
    <row r="80" spans="6:17" s="4" customFormat="1" x14ac:dyDescent="0.3">
      <c r="F80" s="5"/>
      <c r="G80" s="5"/>
      <c r="H80" s="5"/>
      <c r="I80" s="5"/>
      <c r="J80" s="5"/>
      <c r="P80" s="12"/>
      <c r="Q80" s="12"/>
    </row>
    <row r="81" spans="6:17" s="4" customFormat="1" x14ac:dyDescent="0.3">
      <c r="F81" s="5"/>
      <c r="G81" s="5"/>
      <c r="H81" s="5"/>
      <c r="I81" s="5"/>
      <c r="J81" s="5"/>
      <c r="P81" s="12"/>
      <c r="Q81" s="12"/>
    </row>
  </sheetData>
  <sheetProtection selectLockedCells="1"/>
  <mergeCells count="17">
    <mergeCell ref="C26:D26"/>
    <mergeCell ref="C23:D23"/>
    <mergeCell ref="C28:D28"/>
    <mergeCell ref="C27:D27"/>
    <mergeCell ref="C24:D24"/>
    <mergeCell ref="C25:D25"/>
    <mergeCell ref="B2:K2"/>
    <mergeCell ref="B3:K3"/>
    <mergeCell ref="C4:F4"/>
    <mergeCell ref="C22:D22"/>
    <mergeCell ref="C20:D20"/>
    <mergeCell ref="C15:D15"/>
    <mergeCell ref="C17:D17"/>
    <mergeCell ref="C16:D16"/>
    <mergeCell ref="C19:D19"/>
    <mergeCell ref="C18:D18"/>
    <mergeCell ref="C21:D21"/>
  </mergeCells>
  <pageMargins left="0.75" right="0.75" top="1" bottom="1" header="0.5" footer="0.5"/>
  <pageSetup scale="57" orientation="portrait" r:id="rId1"/>
  <headerFooter alignWithMargins="0"/>
  <rowBreaks count="1" manualBreakCount="1">
    <brk id="32" max="16383" man="1"/>
  </rowBreaks>
  <ignoredErrors>
    <ignoredError sqref="J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X61"/>
  <sheetViews>
    <sheetView zoomScale="90" zoomScaleNormal="90" workbookViewId="0"/>
  </sheetViews>
  <sheetFormatPr defaultColWidth="9" defaultRowHeight="17.399999999999999" x14ac:dyDescent="0.3"/>
  <cols>
    <col min="1" max="1" width="4.3984375" style="41" customWidth="1"/>
    <col min="2" max="2" width="2.5" style="41" customWidth="1"/>
    <col min="3" max="3" width="36.69921875" style="17" bestFit="1" customWidth="1"/>
    <col min="4" max="18" width="10.5" style="17" customWidth="1"/>
    <col min="19" max="19" width="9" style="17"/>
    <col min="20" max="20" width="9.5" style="17" bestFit="1" customWidth="1"/>
    <col min="21" max="16384" width="9" style="17"/>
  </cols>
  <sheetData>
    <row r="1" spans="1:24" s="41" customFormat="1" x14ac:dyDescent="0.3"/>
    <row r="2" spans="1:24" s="16" customFormat="1" ht="30" customHeight="1" x14ac:dyDescent="0.3">
      <c r="A2" s="105"/>
      <c r="B2" s="20" t="s">
        <v>28</v>
      </c>
      <c r="C2" s="20"/>
      <c r="D2" s="20"/>
      <c r="E2" s="20"/>
      <c r="F2" s="20"/>
      <c r="G2" s="20"/>
      <c r="H2" s="20"/>
      <c r="I2" s="20"/>
      <c r="J2" s="20"/>
      <c r="K2" s="20"/>
      <c r="L2" s="42"/>
      <c r="M2" s="43"/>
      <c r="N2" s="43"/>
      <c r="O2" s="43"/>
      <c r="P2" s="43"/>
      <c r="Q2" s="43"/>
      <c r="R2" s="33" t="s">
        <v>89</v>
      </c>
    </row>
    <row r="3" spans="1:24" s="16" customFormat="1" ht="30" customHeight="1" thickBot="1" x14ac:dyDescent="0.35">
      <c r="A3" s="105"/>
      <c r="B3" s="100"/>
      <c r="C3" s="34"/>
      <c r="D3" s="44" t="s">
        <v>39</v>
      </c>
      <c r="E3" s="44" t="s">
        <v>40</v>
      </c>
      <c r="F3" s="44" t="s">
        <v>29</v>
      </c>
      <c r="G3" s="44" t="s">
        <v>30</v>
      </c>
      <c r="H3" s="44" t="s">
        <v>31</v>
      </c>
      <c r="I3" s="44" t="s">
        <v>32</v>
      </c>
      <c r="J3" s="44" t="s">
        <v>33</v>
      </c>
      <c r="K3" s="44" t="s">
        <v>34</v>
      </c>
      <c r="L3" s="44" t="s">
        <v>35</v>
      </c>
      <c r="M3" s="44" t="s">
        <v>36</v>
      </c>
      <c r="N3" s="44" t="s">
        <v>37</v>
      </c>
      <c r="O3" s="44" t="s">
        <v>38</v>
      </c>
      <c r="P3" s="44" t="s">
        <v>39</v>
      </c>
      <c r="Q3" s="44" t="s">
        <v>40</v>
      </c>
      <c r="R3" s="44" t="s">
        <v>11</v>
      </c>
    </row>
    <row r="4" spans="1:24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4" x14ac:dyDescent="0.3">
      <c r="B5" s="37" t="s">
        <v>41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4" x14ac:dyDescent="0.3">
      <c r="B6" s="35"/>
      <c r="C6" s="45" t="str">
        <f>'HFR-Budget'!C9</f>
        <v>Bred Replacement Heifers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>
        <f>R6</f>
        <v>130500</v>
      </c>
      <c r="R6" s="40">
        <f>'HFR-Budget'!L9</f>
        <v>130500</v>
      </c>
      <c r="T6" s="32"/>
    </row>
    <row r="7" spans="1:24" x14ac:dyDescent="0.3">
      <c r="B7" s="35"/>
      <c r="C7" s="45" t="str">
        <f>'HFR-Budget'!C10</f>
        <v>Cull Heifers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>
        <f>R7</f>
        <v>9000</v>
      </c>
      <c r="Q7" s="38"/>
      <c r="R7" s="40">
        <f>'HFR-Budget'!L10</f>
        <v>9000</v>
      </c>
      <c r="T7" s="32"/>
    </row>
    <row r="8" spans="1:24" x14ac:dyDescent="0.3">
      <c r="B8" s="35"/>
      <c r="C8" s="45"/>
      <c r="D8" s="38"/>
      <c r="E8" s="38"/>
      <c r="F8" s="38"/>
      <c r="G8" s="38"/>
      <c r="H8" s="38"/>
      <c r="I8" s="38"/>
      <c r="J8" s="38"/>
      <c r="K8" s="38"/>
      <c r="L8" s="38"/>
      <c r="M8" s="38"/>
      <c r="O8" s="41"/>
      <c r="Q8" s="38"/>
      <c r="R8" s="40"/>
      <c r="T8" s="32"/>
    </row>
    <row r="9" spans="1:24" s="18" customFormat="1" x14ac:dyDescent="0.3">
      <c r="A9" s="106"/>
      <c r="B9" s="37" t="s">
        <v>43</v>
      </c>
      <c r="C9" s="46"/>
      <c r="D9" s="40">
        <f t="shared" ref="D9:Q9" si="0">SUM(D6:D8)</f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9000</v>
      </c>
      <c r="Q9" s="40">
        <f t="shared" si="0"/>
        <v>130500</v>
      </c>
      <c r="R9" s="40">
        <f>'HFR-Budget'!L11</f>
        <v>139500</v>
      </c>
      <c r="T9" s="32"/>
    </row>
    <row r="10" spans="1:24" x14ac:dyDescent="0.3">
      <c r="B10" s="101"/>
      <c r="C10" s="47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T10" s="32"/>
    </row>
    <row r="11" spans="1:24" x14ac:dyDescent="0.3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T11" s="32"/>
    </row>
    <row r="12" spans="1:24" x14ac:dyDescent="0.3">
      <c r="B12" s="37" t="s">
        <v>42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T12" s="32"/>
    </row>
    <row r="13" spans="1:24" x14ac:dyDescent="0.3">
      <c r="B13" s="35"/>
      <c r="C13" s="48" t="str">
        <f>'HFR-Budget'!C14</f>
        <v>Purchased/Transfered Heifers</v>
      </c>
      <c r="D13" s="49">
        <f>R13</f>
        <v>85000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0">
        <f>'HFR-Budget'!L14</f>
        <v>85000</v>
      </c>
      <c r="T13" s="32"/>
    </row>
    <row r="14" spans="1:24" x14ac:dyDescent="0.3">
      <c r="B14" s="35"/>
      <c r="C14" s="48" t="str">
        <f>'HFR-Budget'!C15</f>
        <v>Alfalfa Hay</v>
      </c>
      <c r="D14" s="49">
        <f>$R$14*0.09</f>
        <v>3388.5</v>
      </c>
      <c r="E14" s="49">
        <f>$R$14*0.1</f>
        <v>3765</v>
      </c>
      <c r="F14" s="49">
        <f>$R$14*0.11</f>
        <v>4141.5</v>
      </c>
      <c r="G14" s="49">
        <f>$R$14*0.12</f>
        <v>4518</v>
      </c>
      <c r="H14" s="49">
        <f>$R$14*0.12</f>
        <v>4518</v>
      </c>
      <c r="I14" s="49">
        <f>$R$14*0.13</f>
        <v>4894.5</v>
      </c>
      <c r="J14" s="49">
        <f>$R$14*0.14</f>
        <v>5271.0000000000009</v>
      </c>
      <c r="K14" s="49"/>
      <c r="L14" s="49"/>
      <c r="M14" s="49"/>
      <c r="N14" s="49"/>
      <c r="O14" s="49"/>
      <c r="P14" s="49">
        <f>$R$14*0.09</f>
        <v>3388.5</v>
      </c>
      <c r="Q14" s="49">
        <f>$R$14*0.1</f>
        <v>3765</v>
      </c>
      <c r="R14" s="40">
        <f>'HFR-Budget'!L15</f>
        <v>37650</v>
      </c>
      <c r="T14" s="32"/>
    </row>
    <row r="15" spans="1:24" x14ac:dyDescent="0.3">
      <c r="B15" s="35"/>
      <c r="C15" s="48" t="str">
        <f>'HFR-Budget'!C16</f>
        <v>Supplement</v>
      </c>
      <c r="D15" s="49"/>
      <c r="E15" s="103"/>
      <c r="F15" s="4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0">
        <f>'HFR-Budget'!L16</f>
        <v>0</v>
      </c>
      <c r="T15" s="32"/>
    </row>
    <row r="16" spans="1:24" x14ac:dyDescent="0.3">
      <c r="B16" s="35"/>
      <c r="C16" s="48" t="str">
        <f>'HFR-Budget'!C17</f>
        <v>Yardage</v>
      </c>
      <c r="D16" s="49">
        <f>0.125*$R$16</f>
        <v>918.74999999999989</v>
      </c>
      <c r="E16" s="49">
        <f t="shared" ref="E16:J16" si="1">0.125*$R$16</f>
        <v>918.74999999999989</v>
      </c>
      <c r="F16" s="49">
        <f t="shared" si="1"/>
        <v>918.74999999999989</v>
      </c>
      <c r="G16" s="49">
        <f t="shared" si="1"/>
        <v>918.74999999999989</v>
      </c>
      <c r="H16" s="49">
        <f t="shared" si="1"/>
        <v>918.74999999999989</v>
      </c>
      <c r="I16" s="49">
        <f t="shared" si="1"/>
        <v>918.74999999999989</v>
      </c>
      <c r="J16" s="49">
        <f t="shared" si="1"/>
        <v>918.74999999999989</v>
      </c>
      <c r="K16" s="49"/>
      <c r="L16" s="49"/>
      <c r="M16" s="49"/>
      <c r="N16" s="49"/>
      <c r="O16" s="49"/>
      <c r="P16" s="49">
        <f>0.0625*$R$16</f>
        <v>459.37499999999994</v>
      </c>
      <c r="Q16" s="49">
        <f>0.0625*$R$16</f>
        <v>459.37499999999994</v>
      </c>
      <c r="R16" s="40">
        <f>'HFR-Budget'!L17</f>
        <v>7349.9999999999991</v>
      </c>
      <c r="S16" s="40"/>
      <c r="T16" s="32"/>
      <c r="U16" s="40"/>
      <c r="V16" s="40"/>
      <c r="W16" s="40"/>
      <c r="X16" s="40"/>
    </row>
    <row r="17" spans="1:20" x14ac:dyDescent="0.3">
      <c r="B17" s="35"/>
      <c r="C17" s="48" t="str">
        <f>'HFR-Budget'!C18</f>
        <v>Pasture</v>
      </c>
      <c r="D17" s="49"/>
      <c r="E17" s="38"/>
      <c r="F17" s="38"/>
      <c r="G17" s="49"/>
      <c r="H17" s="49"/>
      <c r="I17" s="38"/>
      <c r="J17" s="38"/>
      <c r="K17" s="38">
        <f>0.1818*$R$17</f>
        <v>1999.8</v>
      </c>
      <c r="L17" s="38">
        <f t="shared" ref="L17:O17" si="2">0.1818*$R$17</f>
        <v>1999.8</v>
      </c>
      <c r="M17" s="38">
        <f t="shared" si="2"/>
        <v>1999.8</v>
      </c>
      <c r="N17" s="38">
        <f t="shared" si="2"/>
        <v>1999.8</v>
      </c>
      <c r="O17" s="38">
        <f t="shared" si="2"/>
        <v>1999.8</v>
      </c>
      <c r="P17" s="38">
        <f>0.0909*$R$17</f>
        <v>999.9</v>
      </c>
      <c r="Q17" s="38"/>
      <c r="R17" s="40">
        <f>'HFR-Budget'!L18</f>
        <v>11000</v>
      </c>
      <c r="T17" s="32"/>
    </row>
    <row r="18" spans="1:20" x14ac:dyDescent="0.3">
      <c r="B18" s="35"/>
      <c r="C18" s="48" t="str">
        <f>'HFR-Budget'!C19</f>
        <v>Hauling</v>
      </c>
      <c r="D18" s="49"/>
      <c r="E18" s="38"/>
      <c r="F18" s="38"/>
      <c r="G18" s="38"/>
      <c r="H18" s="38"/>
      <c r="I18" s="38"/>
      <c r="J18" s="38"/>
      <c r="K18" s="38">
        <f>R18*0.5</f>
        <v>750</v>
      </c>
      <c r="L18" s="38"/>
      <c r="M18" s="38"/>
      <c r="N18" s="38"/>
      <c r="O18" s="38"/>
      <c r="P18" s="38">
        <f>R18*0.5</f>
        <v>750</v>
      </c>
      <c r="Q18" s="38"/>
      <c r="R18" s="40">
        <f>'HFR-Budget'!L19</f>
        <v>1500</v>
      </c>
      <c r="T18" s="32"/>
    </row>
    <row r="19" spans="1:20" x14ac:dyDescent="0.3">
      <c r="B19" s="35"/>
      <c r="C19" s="48" t="str">
        <f>'HFR-Budget'!C20</f>
        <v>Veterinary</v>
      </c>
      <c r="D19" s="49">
        <f>R19*0.3</f>
        <v>873.75</v>
      </c>
      <c r="E19" s="38"/>
      <c r="F19" s="38"/>
      <c r="G19" s="38"/>
      <c r="H19" s="38"/>
      <c r="I19" s="38">
        <f>R19*0.3</f>
        <v>873.75</v>
      </c>
      <c r="J19" s="38"/>
      <c r="K19" s="38"/>
      <c r="L19" s="38"/>
      <c r="M19" s="38"/>
      <c r="N19" s="38"/>
      <c r="O19" s="38"/>
      <c r="P19" s="38">
        <f>R19*0.4</f>
        <v>1165</v>
      </c>
      <c r="Q19" s="38"/>
      <c r="R19" s="40">
        <f>'HFR-Budget'!L20</f>
        <v>2912.5</v>
      </c>
      <c r="T19" s="32"/>
    </row>
    <row r="20" spans="1:20" x14ac:dyDescent="0.3">
      <c r="B20" s="35"/>
      <c r="C20" s="48" t="str">
        <f>'HFR-Budget'!C21</f>
        <v>Breeding</v>
      </c>
      <c r="E20" s="49"/>
      <c r="F20" s="49"/>
      <c r="G20" s="49"/>
      <c r="H20" s="49"/>
      <c r="I20" s="49"/>
      <c r="J20" s="49">
        <f>R20</f>
        <v>6990.0000000000009</v>
      </c>
      <c r="K20" s="49"/>
      <c r="L20" s="49"/>
      <c r="M20" s="49"/>
      <c r="N20" s="49"/>
      <c r="O20" s="49"/>
      <c r="P20" s="49"/>
      <c r="Q20" s="49"/>
      <c r="R20" s="40">
        <f>'HFR-Budget'!L21</f>
        <v>6990.0000000000009</v>
      </c>
      <c r="T20" s="32"/>
    </row>
    <row r="21" spans="1:20" x14ac:dyDescent="0.3">
      <c r="B21" s="35"/>
      <c r="C21" s="48" t="str">
        <f>'HFR-Budget'!C22</f>
        <v>Hired Labor</v>
      </c>
      <c r="D21" s="49">
        <f>$R$21/14</f>
        <v>250</v>
      </c>
      <c r="E21" s="49">
        <f t="shared" ref="E21:Q21" si="3">$R$21/14</f>
        <v>250</v>
      </c>
      <c r="F21" s="49">
        <f t="shared" si="3"/>
        <v>250</v>
      </c>
      <c r="G21" s="49">
        <f t="shared" si="3"/>
        <v>250</v>
      </c>
      <c r="H21" s="49">
        <f t="shared" si="3"/>
        <v>250</v>
      </c>
      <c r="I21" s="49">
        <f t="shared" si="3"/>
        <v>250</v>
      </c>
      <c r="J21" s="49">
        <f t="shared" si="3"/>
        <v>250</v>
      </c>
      <c r="K21" s="49">
        <f t="shared" si="3"/>
        <v>250</v>
      </c>
      <c r="L21" s="49">
        <f t="shared" si="3"/>
        <v>250</v>
      </c>
      <c r="M21" s="49">
        <f t="shared" si="3"/>
        <v>250</v>
      </c>
      <c r="N21" s="49">
        <f t="shared" si="3"/>
        <v>250</v>
      </c>
      <c r="O21" s="49">
        <f t="shared" si="3"/>
        <v>250</v>
      </c>
      <c r="P21" s="49">
        <f t="shared" si="3"/>
        <v>250</v>
      </c>
      <c r="Q21" s="49">
        <f t="shared" si="3"/>
        <v>250</v>
      </c>
      <c r="R21" s="40">
        <f>'HFR-Budget'!L22</f>
        <v>3500</v>
      </c>
      <c r="T21" s="32"/>
    </row>
    <row r="22" spans="1:20" x14ac:dyDescent="0.3">
      <c r="B22" s="35"/>
      <c r="C22" s="48" t="str">
        <f>'HFR-Budget'!C23</f>
        <v>Salt/Mineral</v>
      </c>
      <c r="D22" s="49">
        <f>$R$22/14</f>
        <v>34.714285714285715</v>
      </c>
      <c r="E22" s="49">
        <f t="shared" ref="E22:Q22" si="4">$R$22/14</f>
        <v>34.714285714285715</v>
      </c>
      <c r="F22" s="49">
        <f t="shared" si="4"/>
        <v>34.714285714285715</v>
      </c>
      <c r="G22" s="49">
        <f t="shared" si="4"/>
        <v>34.714285714285715</v>
      </c>
      <c r="H22" s="49">
        <f t="shared" si="4"/>
        <v>34.714285714285715</v>
      </c>
      <c r="I22" s="49">
        <f t="shared" si="4"/>
        <v>34.714285714285715</v>
      </c>
      <c r="J22" s="49">
        <f t="shared" si="4"/>
        <v>34.714285714285715</v>
      </c>
      <c r="K22" s="49">
        <f t="shared" si="4"/>
        <v>34.714285714285715</v>
      </c>
      <c r="L22" s="49">
        <f t="shared" si="4"/>
        <v>34.714285714285715</v>
      </c>
      <c r="M22" s="49">
        <f t="shared" si="4"/>
        <v>34.714285714285715</v>
      </c>
      <c r="N22" s="49">
        <f t="shared" si="4"/>
        <v>34.714285714285715</v>
      </c>
      <c r="O22" s="49">
        <f t="shared" si="4"/>
        <v>34.714285714285715</v>
      </c>
      <c r="P22" s="49">
        <f t="shared" si="4"/>
        <v>34.714285714285715</v>
      </c>
      <c r="Q22" s="49">
        <f t="shared" si="4"/>
        <v>34.714285714285715</v>
      </c>
      <c r="R22" s="40">
        <f>'HFR-Budget'!L23</f>
        <v>486</v>
      </c>
      <c r="T22" s="32"/>
    </row>
    <row r="23" spans="1:20" x14ac:dyDescent="0.3">
      <c r="B23" s="35"/>
      <c r="C23" s="48" t="str">
        <f>'HFR-Budget'!C24</f>
        <v>Marketing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>
        <f>R23</f>
        <v>293.04000000000002</v>
      </c>
      <c r="R23" s="40">
        <f>'HFR-Budget'!L24</f>
        <v>293.04000000000002</v>
      </c>
      <c r="T23" s="32"/>
    </row>
    <row r="24" spans="1:20" x14ac:dyDescent="0.3">
      <c r="B24" s="35"/>
      <c r="C24" s="48" t="str">
        <f>'HFR-Budget'!C25</f>
        <v>Commision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>
        <f>R24</f>
        <v>225</v>
      </c>
      <c r="Q24" s="49"/>
      <c r="R24" s="40">
        <f>'HFR-Budget'!L25</f>
        <v>225</v>
      </c>
      <c r="T24" s="32"/>
    </row>
    <row r="25" spans="1:20" x14ac:dyDescent="0.3">
      <c r="B25" s="35"/>
      <c r="C25" s="48" t="str">
        <f>'HFR-Budget'!C26</f>
        <v>Miscellaneous</v>
      </c>
      <c r="D25" s="136">
        <f>$R$25/14</f>
        <v>71.428571428571431</v>
      </c>
      <c r="E25" s="136">
        <f t="shared" ref="E25:Q25" si="5">$R$25/14</f>
        <v>71.428571428571431</v>
      </c>
      <c r="F25" s="136">
        <f t="shared" si="5"/>
        <v>71.428571428571431</v>
      </c>
      <c r="G25" s="136">
        <f t="shared" si="5"/>
        <v>71.428571428571431</v>
      </c>
      <c r="H25" s="136">
        <f t="shared" si="5"/>
        <v>71.428571428571431</v>
      </c>
      <c r="I25" s="136">
        <f t="shared" si="5"/>
        <v>71.428571428571431</v>
      </c>
      <c r="J25" s="136">
        <f t="shared" si="5"/>
        <v>71.428571428571431</v>
      </c>
      <c r="K25" s="136">
        <f t="shared" si="5"/>
        <v>71.428571428571431</v>
      </c>
      <c r="L25" s="136">
        <f t="shared" si="5"/>
        <v>71.428571428571431</v>
      </c>
      <c r="M25" s="136">
        <f t="shared" si="5"/>
        <v>71.428571428571431</v>
      </c>
      <c r="N25" s="136">
        <f t="shared" si="5"/>
        <v>71.428571428571431</v>
      </c>
      <c r="O25" s="136">
        <f t="shared" si="5"/>
        <v>71.428571428571431</v>
      </c>
      <c r="P25" s="136">
        <f t="shared" si="5"/>
        <v>71.428571428571431</v>
      </c>
      <c r="Q25" s="136">
        <f t="shared" si="5"/>
        <v>71.428571428571431</v>
      </c>
      <c r="R25" s="40">
        <f>'HFR-Budget'!L26</f>
        <v>1000</v>
      </c>
      <c r="T25" s="32"/>
    </row>
    <row r="26" spans="1:20" x14ac:dyDescent="0.3">
      <c r="B26" s="35"/>
      <c r="C26" s="48" t="str">
        <f>'HFR-Budget'!C28:D28</f>
        <v>Interest on Operating Capital</v>
      </c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f>R26</f>
        <v>6217.5700125000003</v>
      </c>
      <c r="R26" s="40">
        <f>'HFR-Budget'!L28</f>
        <v>6217.5700125000003</v>
      </c>
      <c r="T26" s="32"/>
    </row>
    <row r="27" spans="1:20" x14ac:dyDescent="0.3">
      <c r="B27" s="35"/>
      <c r="C27" s="3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1"/>
    </row>
    <row r="28" spans="1:20" s="18" customFormat="1" x14ac:dyDescent="0.3">
      <c r="A28" s="106"/>
      <c r="B28" s="37" t="s">
        <v>44</v>
      </c>
      <c r="C28" s="37"/>
      <c r="D28" s="40">
        <f t="shared" ref="D28:Q28" si="6">SUM(D13:D24)</f>
        <v>90465.71428571429</v>
      </c>
      <c r="E28" s="40">
        <f t="shared" si="6"/>
        <v>4968.4642857142853</v>
      </c>
      <c r="F28" s="40">
        <f t="shared" si="6"/>
        <v>5344.9642857142853</v>
      </c>
      <c r="G28" s="40">
        <f t="shared" si="6"/>
        <v>5721.4642857142853</v>
      </c>
      <c r="H28" s="40">
        <f t="shared" si="6"/>
        <v>5721.4642857142853</v>
      </c>
      <c r="I28" s="40">
        <f t="shared" si="6"/>
        <v>6971.7142857142853</v>
      </c>
      <c r="J28" s="40">
        <f t="shared" si="6"/>
        <v>13464.464285714288</v>
      </c>
      <c r="K28" s="40">
        <f t="shared" si="6"/>
        <v>3034.514285714286</v>
      </c>
      <c r="L28" s="40">
        <f t="shared" si="6"/>
        <v>2284.514285714286</v>
      </c>
      <c r="M28" s="40">
        <f t="shared" si="6"/>
        <v>2284.514285714286</v>
      </c>
      <c r="N28" s="40">
        <f t="shared" si="6"/>
        <v>2284.514285714286</v>
      </c>
      <c r="O28" s="40">
        <f t="shared" si="6"/>
        <v>2284.514285714286</v>
      </c>
      <c r="P28" s="40">
        <f t="shared" si="6"/>
        <v>7272.489285714285</v>
      </c>
      <c r="Q28" s="40">
        <f t="shared" si="6"/>
        <v>4802.1292857142853</v>
      </c>
      <c r="R28" s="40">
        <f>SUM(R13:R26)</f>
        <v>164124.11001250002</v>
      </c>
    </row>
    <row r="29" spans="1:20" x14ac:dyDescent="0.3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0" x14ac:dyDescent="0.3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20" s="18" customFormat="1" x14ac:dyDescent="0.3">
      <c r="A31" s="106"/>
      <c r="B31" s="37" t="s">
        <v>45</v>
      </c>
      <c r="C31" s="37"/>
      <c r="D31" s="40">
        <f t="shared" ref="D31:R31" si="7">D9-D28</f>
        <v>-90465.71428571429</v>
      </c>
      <c r="E31" s="40">
        <f t="shared" si="7"/>
        <v>-4968.4642857142853</v>
      </c>
      <c r="F31" s="40">
        <f t="shared" si="7"/>
        <v>-5344.9642857142853</v>
      </c>
      <c r="G31" s="40">
        <f t="shared" si="7"/>
        <v>-5721.4642857142853</v>
      </c>
      <c r="H31" s="40">
        <f t="shared" si="7"/>
        <v>-5721.4642857142853</v>
      </c>
      <c r="I31" s="40">
        <f t="shared" si="7"/>
        <v>-6971.7142857142853</v>
      </c>
      <c r="J31" s="40">
        <f t="shared" si="7"/>
        <v>-13464.464285714288</v>
      </c>
      <c r="K31" s="40">
        <f t="shared" si="7"/>
        <v>-3034.514285714286</v>
      </c>
      <c r="L31" s="40">
        <f t="shared" si="7"/>
        <v>-2284.514285714286</v>
      </c>
      <c r="M31" s="40">
        <f t="shared" si="7"/>
        <v>-2284.514285714286</v>
      </c>
      <c r="N31" s="40">
        <f t="shared" si="7"/>
        <v>-2284.514285714286</v>
      </c>
      <c r="O31" s="40"/>
      <c r="P31" s="40"/>
      <c r="Q31" s="40">
        <f t="shared" si="7"/>
        <v>125697.87071428572</v>
      </c>
      <c r="R31" s="40">
        <f t="shared" si="7"/>
        <v>-24624.110012500023</v>
      </c>
    </row>
    <row r="32" spans="1:20" x14ac:dyDescent="0.3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20" x14ac:dyDescent="0.3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20" x14ac:dyDescent="0.3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20" s="16" customFormat="1" ht="30" customHeight="1" x14ac:dyDescent="0.3">
      <c r="A35" s="105"/>
      <c r="B35" s="50" t="s">
        <v>46</v>
      </c>
      <c r="C35" s="50"/>
      <c r="D35" s="50"/>
      <c r="E35" s="50"/>
      <c r="F35" s="50"/>
      <c r="G35" s="50"/>
      <c r="H35" s="50"/>
      <c r="I35" s="50"/>
      <c r="J35" s="50"/>
      <c r="K35" s="50"/>
      <c r="L35" s="42"/>
      <c r="M35" s="43"/>
      <c r="N35" s="43"/>
      <c r="O35" s="43"/>
      <c r="P35" s="43"/>
      <c r="Q35" s="43"/>
      <c r="R35" s="98"/>
    </row>
    <row r="36" spans="1:20" s="19" customFormat="1" ht="30" customHeight="1" thickBot="1" x14ac:dyDescent="0.35">
      <c r="A36" s="107"/>
      <c r="B36" s="99" t="s">
        <v>47</v>
      </c>
      <c r="C36" s="51"/>
      <c r="D36" s="44" t="s">
        <v>48</v>
      </c>
      <c r="E36" s="44" t="s">
        <v>39</v>
      </c>
      <c r="F36" s="44" t="s">
        <v>40</v>
      </c>
      <c r="G36" s="44" t="s">
        <v>29</v>
      </c>
      <c r="H36" s="44" t="s">
        <v>30</v>
      </c>
      <c r="I36" s="44" t="s">
        <v>31</v>
      </c>
      <c r="J36" s="44" t="s">
        <v>32</v>
      </c>
      <c r="K36" s="44" t="s">
        <v>33</v>
      </c>
      <c r="L36" s="44" t="s">
        <v>34</v>
      </c>
      <c r="M36" s="44" t="s">
        <v>35</v>
      </c>
      <c r="N36" s="44" t="s">
        <v>36</v>
      </c>
      <c r="O36" s="44" t="s">
        <v>37</v>
      </c>
      <c r="P36" s="44" t="s">
        <v>38</v>
      </c>
      <c r="Q36" s="44" t="s">
        <v>39</v>
      </c>
      <c r="R36" s="44" t="s">
        <v>40</v>
      </c>
    </row>
    <row r="37" spans="1:20" x14ac:dyDescent="0.3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20" x14ac:dyDescent="0.3">
      <c r="B38" s="45" t="s">
        <v>50</v>
      </c>
      <c r="C38" s="35"/>
      <c r="D38" s="102" t="s">
        <v>13</v>
      </c>
      <c r="E38" s="38">
        <v>23</v>
      </c>
      <c r="F38" s="38">
        <v>25</v>
      </c>
      <c r="G38" s="38">
        <v>27</v>
      </c>
      <c r="H38" s="38">
        <v>29</v>
      </c>
      <c r="I38" s="38">
        <v>31</v>
      </c>
      <c r="J38" s="38">
        <v>33</v>
      </c>
      <c r="K38" s="38">
        <v>35</v>
      </c>
      <c r="L38" s="38"/>
      <c r="M38" s="38"/>
      <c r="N38" s="38"/>
      <c r="O38" s="38"/>
      <c r="P38" s="38"/>
      <c r="Q38" s="38">
        <f>47/2</f>
        <v>23.5</v>
      </c>
      <c r="R38" s="38">
        <f>49/2</f>
        <v>24.5</v>
      </c>
      <c r="T38" s="32"/>
    </row>
    <row r="39" spans="1:20" x14ac:dyDescent="0.3">
      <c r="B39" s="35" t="s">
        <v>73</v>
      </c>
      <c r="C39" s="45"/>
      <c r="D39" s="102" t="s">
        <v>14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32"/>
    </row>
    <row r="40" spans="1:20" x14ac:dyDescent="0.3">
      <c r="B40" s="35" t="s">
        <v>52</v>
      </c>
      <c r="C40" s="35"/>
      <c r="D40" s="36" t="s">
        <v>15</v>
      </c>
      <c r="E40" s="38"/>
      <c r="F40" s="38"/>
      <c r="G40" s="38"/>
      <c r="H40" s="38"/>
      <c r="I40" s="38"/>
      <c r="J40" s="38"/>
      <c r="K40" s="38"/>
      <c r="L40" s="38">
        <v>100</v>
      </c>
      <c r="M40" s="38">
        <v>100</v>
      </c>
      <c r="N40" s="38">
        <v>100</v>
      </c>
      <c r="O40" s="38">
        <v>100</v>
      </c>
      <c r="P40" s="38">
        <v>100</v>
      </c>
      <c r="Q40" s="38">
        <v>50</v>
      </c>
      <c r="R40" s="38"/>
      <c r="T40" s="32"/>
    </row>
    <row r="41" spans="1:20" x14ac:dyDescent="0.3">
      <c r="B41" s="35" t="s">
        <v>23</v>
      </c>
      <c r="C41" s="35"/>
      <c r="D41" s="36" t="s">
        <v>14</v>
      </c>
      <c r="E41" s="38">
        <v>2</v>
      </c>
      <c r="F41" s="38">
        <v>2</v>
      </c>
      <c r="G41" s="38">
        <v>2</v>
      </c>
      <c r="H41" s="38">
        <v>2</v>
      </c>
      <c r="I41" s="38">
        <v>2</v>
      </c>
      <c r="J41" s="38">
        <v>2</v>
      </c>
      <c r="K41" s="38">
        <v>2</v>
      </c>
      <c r="L41" s="38">
        <v>2</v>
      </c>
      <c r="M41" s="38">
        <v>2</v>
      </c>
      <c r="N41" s="38">
        <v>2</v>
      </c>
      <c r="O41" s="38">
        <v>2</v>
      </c>
      <c r="P41" s="38">
        <v>2</v>
      </c>
      <c r="Q41" s="38">
        <v>2</v>
      </c>
      <c r="R41" s="38">
        <v>1</v>
      </c>
      <c r="T41" s="32"/>
    </row>
    <row r="42" spans="1:20" x14ac:dyDescent="0.3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20" x14ac:dyDescent="0.3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20" x14ac:dyDescent="0.3"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7" spans="1:20" x14ac:dyDescent="0.3">
      <c r="D47" s="17" t="s">
        <v>7</v>
      </c>
      <c r="E47" s="17" t="s">
        <v>87</v>
      </c>
    </row>
    <row r="48" spans="1:20" x14ac:dyDescent="0.3">
      <c r="C48" s="131" t="s">
        <v>39</v>
      </c>
      <c r="D48" s="17">
        <v>500</v>
      </c>
      <c r="E48" s="132">
        <f>D48*0.03*30*100/2000</f>
        <v>22.5</v>
      </c>
    </row>
    <row r="49" spans="3:5" x14ac:dyDescent="0.3">
      <c r="C49" s="131" t="s">
        <v>40</v>
      </c>
      <c r="D49" s="17">
        <f>D48+45</f>
        <v>545</v>
      </c>
      <c r="E49" s="132">
        <f t="shared" ref="E49:E61" si="8">D49*0.03*30*100/2000</f>
        <v>24.524999999999995</v>
      </c>
    </row>
    <row r="50" spans="3:5" x14ac:dyDescent="0.3">
      <c r="C50" s="131" t="s">
        <v>29</v>
      </c>
      <c r="D50" s="17">
        <f t="shared" ref="D50:D61" si="9">D49+45</f>
        <v>590</v>
      </c>
      <c r="E50" s="132">
        <f t="shared" si="8"/>
        <v>26.55</v>
      </c>
    </row>
    <row r="51" spans="3:5" x14ac:dyDescent="0.3">
      <c r="C51" s="131" t="s">
        <v>30</v>
      </c>
      <c r="D51" s="17">
        <f t="shared" si="9"/>
        <v>635</v>
      </c>
      <c r="E51" s="132">
        <f t="shared" si="8"/>
        <v>28.574999999999999</v>
      </c>
    </row>
    <row r="52" spans="3:5" x14ac:dyDescent="0.3">
      <c r="C52" s="131" t="s">
        <v>31</v>
      </c>
      <c r="D52" s="17">
        <f t="shared" si="9"/>
        <v>680</v>
      </c>
      <c r="E52" s="132">
        <f t="shared" si="8"/>
        <v>30.6</v>
      </c>
    </row>
    <row r="53" spans="3:5" x14ac:dyDescent="0.3">
      <c r="C53" s="131" t="s">
        <v>32</v>
      </c>
      <c r="D53" s="17">
        <f t="shared" si="9"/>
        <v>725</v>
      </c>
      <c r="E53" s="132">
        <f t="shared" si="8"/>
        <v>32.625</v>
      </c>
    </row>
    <row r="54" spans="3:5" x14ac:dyDescent="0.3">
      <c r="C54" s="131" t="s">
        <v>33</v>
      </c>
      <c r="D54" s="17">
        <f t="shared" si="9"/>
        <v>770</v>
      </c>
      <c r="E54" s="132">
        <f t="shared" si="8"/>
        <v>34.649999999999991</v>
      </c>
    </row>
    <row r="55" spans="3:5" x14ac:dyDescent="0.3">
      <c r="C55" s="131" t="s">
        <v>34</v>
      </c>
      <c r="D55" s="17">
        <f t="shared" si="9"/>
        <v>815</v>
      </c>
      <c r="E55" s="132">
        <f t="shared" si="8"/>
        <v>36.674999999999997</v>
      </c>
    </row>
    <row r="56" spans="3:5" x14ac:dyDescent="0.3">
      <c r="C56" s="131" t="s">
        <v>35</v>
      </c>
      <c r="D56" s="17">
        <f t="shared" si="9"/>
        <v>860</v>
      </c>
      <c r="E56" s="132">
        <f t="shared" si="8"/>
        <v>38.700000000000003</v>
      </c>
    </row>
    <row r="57" spans="3:5" x14ac:dyDescent="0.3">
      <c r="C57" s="131" t="s">
        <v>36</v>
      </c>
      <c r="D57" s="17">
        <f t="shared" si="9"/>
        <v>905</v>
      </c>
      <c r="E57" s="132">
        <f t="shared" si="8"/>
        <v>40.725000000000001</v>
      </c>
    </row>
    <row r="58" spans="3:5" x14ac:dyDescent="0.3">
      <c r="C58" s="131" t="s">
        <v>37</v>
      </c>
      <c r="D58" s="17">
        <f t="shared" si="9"/>
        <v>950</v>
      </c>
      <c r="E58" s="132">
        <f t="shared" si="8"/>
        <v>42.75</v>
      </c>
    </row>
    <row r="59" spans="3:5" x14ac:dyDescent="0.3">
      <c r="C59" s="131" t="s">
        <v>38</v>
      </c>
      <c r="D59" s="17">
        <f t="shared" si="9"/>
        <v>995</v>
      </c>
      <c r="E59" s="132">
        <f t="shared" si="8"/>
        <v>44.774999999999991</v>
      </c>
    </row>
    <row r="60" spans="3:5" x14ac:dyDescent="0.3">
      <c r="C60" s="131" t="s">
        <v>39</v>
      </c>
      <c r="D60" s="17">
        <f t="shared" si="9"/>
        <v>1040</v>
      </c>
      <c r="E60" s="132">
        <f t="shared" si="8"/>
        <v>46.8</v>
      </c>
    </row>
    <row r="61" spans="3:5" x14ac:dyDescent="0.3">
      <c r="C61" s="131" t="s">
        <v>40</v>
      </c>
      <c r="D61" s="17">
        <f t="shared" si="9"/>
        <v>1085</v>
      </c>
      <c r="E61" s="132">
        <f t="shared" si="8"/>
        <v>48.824999999999996</v>
      </c>
    </row>
  </sheetData>
  <pageMargins left="0.7" right="0.7" top="0.75" bottom="0.75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T31"/>
  <sheetViews>
    <sheetView workbookViewId="0">
      <selection activeCell="B30" sqref="B30"/>
    </sheetView>
  </sheetViews>
  <sheetFormatPr defaultRowHeight="15" x14ac:dyDescent="0.25"/>
  <cols>
    <col min="1" max="1" width="21.09765625" style="116" bestFit="1" customWidth="1"/>
    <col min="2" max="19" width="8.796875" style="115"/>
    <col min="20" max="20" width="12.3984375" style="116" bestFit="1" customWidth="1"/>
    <col min="21" max="16384" width="8.796875" style="116"/>
  </cols>
  <sheetData>
    <row r="1" spans="1:20" ht="15.6" x14ac:dyDescent="0.3">
      <c r="A1" s="114" t="s">
        <v>58</v>
      </c>
    </row>
    <row r="4" spans="1:20" ht="15.6" x14ac:dyDescent="0.3">
      <c r="B4" s="117" t="s">
        <v>59</v>
      </c>
      <c r="C4" s="117"/>
      <c r="D4" s="117" t="s">
        <v>48</v>
      </c>
      <c r="E4" s="117" t="s">
        <v>60</v>
      </c>
      <c r="F4" s="118" t="s">
        <v>39</v>
      </c>
      <c r="G4" s="118" t="s">
        <v>40</v>
      </c>
      <c r="H4" s="118" t="s">
        <v>29</v>
      </c>
      <c r="I4" s="118" t="s">
        <v>30</v>
      </c>
      <c r="J4" s="118" t="s">
        <v>31</v>
      </c>
      <c r="K4" s="118" t="s">
        <v>32</v>
      </c>
      <c r="L4" s="118" t="s">
        <v>33</v>
      </c>
      <c r="M4" s="118" t="s">
        <v>34</v>
      </c>
      <c r="N4" s="118" t="s">
        <v>35</v>
      </c>
      <c r="O4" s="118" t="s">
        <v>36</v>
      </c>
      <c r="P4" s="118" t="s">
        <v>37</v>
      </c>
      <c r="Q4" s="118" t="s">
        <v>38</v>
      </c>
      <c r="R4" s="118" t="s">
        <v>39</v>
      </c>
      <c r="S4" s="118" t="s">
        <v>40</v>
      </c>
      <c r="T4" s="118" t="s">
        <v>10</v>
      </c>
    </row>
    <row r="5" spans="1:20" ht="15.6" x14ac:dyDescent="0.3">
      <c r="A5" s="114" t="s">
        <v>77</v>
      </c>
      <c r="B5" s="134">
        <v>100</v>
      </c>
    </row>
    <row r="6" spans="1:20" x14ac:dyDescent="0.25">
      <c r="A6" s="116" t="s">
        <v>27</v>
      </c>
      <c r="D6" s="115" t="s">
        <v>26</v>
      </c>
      <c r="E6" s="119">
        <v>1.8</v>
      </c>
      <c r="F6" s="115">
        <v>1</v>
      </c>
      <c r="J6" s="115">
        <v>1</v>
      </c>
      <c r="R6" s="115">
        <v>1</v>
      </c>
      <c r="T6" s="120">
        <f>SUM(F6:S6)*$B$5*E6</f>
        <v>540</v>
      </c>
    </row>
    <row r="7" spans="1:20" x14ac:dyDescent="0.25">
      <c r="A7" s="116" t="s">
        <v>70</v>
      </c>
      <c r="D7" s="115" t="s">
        <v>26</v>
      </c>
      <c r="E7" s="119">
        <v>2.4</v>
      </c>
      <c r="J7" s="115">
        <v>1</v>
      </c>
      <c r="R7" s="115">
        <v>1</v>
      </c>
      <c r="T7" s="120">
        <f t="shared" ref="T7:T11" si="0">SUM(F7:S7)*$B$5*E7</f>
        <v>480</v>
      </c>
    </row>
    <row r="8" spans="1:20" x14ac:dyDescent="0.25">
      <c r="A8" s="116" t="s">
        <v>61</v>
      </c>
      <c r="D8" s="115" t="s">
        <v>26</v>
      </c>
      <c r="E8" s="119">
        <v>0.9</v>
      </c>
      <c r="F8" s="115">
        <v>1</v>
      </c>
      <c r="J8" s="115">
        <v>1</v>
      </c>
      <c r="R8" s="115">
        <v>1</v>
      </c>
      <c r="T8" s="120">
        <f t="shared" si="0"/>
        <v>270</v>
      </c>
    </row>
    <row r="9" spans="1:20" x14ac:dyDescent="0.25">
      <c r="A9" s="116" t="s">
        <v>62</v>
      </c>
      <c r="D9" s="115" t="s">
        <v>26</v>
      </c>
      <c r="E9" s="119">
        <v>0.8</v>
      </c>
      <c r="F9" s="115">
        <v>1</v>
      </c>
      <c r="J9" s="115">
        <v>1</v>
      </c>
      <c r="R9" s="115">
        <v>1</v>
      </c>
      <c r="T9" s="120">
        <f t="shared" si="0"/>
        <v>240</v>
      </c>
    </row>
    <row r="10" spans="1:20" x14ac:dyDescent="0.25">
      <c r="A10" s="116" t="s">
        <v>69</v>
      </c>
      <c r="D10" s="115" t="s">
        <v>15</v>
      </c>
      <c r="E10" s="119">
        <v>4</v>
      </c>
      <c r="F10" s="115">
        <v>1</v>
      </c>
      <c r="T10" s="120">
        <f t="shared" si="0"/>
        <v>400</v>
      </c>
    </row>
    <row r="11" spans="1:20" x14ac:dyDescent="0.25">
      <c r="A11" s="116" t="s">
        <v>71</v>
      </c>
      <c r="D11" s="115" t="s">
        <v>15</v>
      </c>
      <c r="E11" s="119">
        <v>4</v>
      </c>
      <c r="Q11" s="128"/>
      <c r="R11" s="128">
        <v>1</v>
      </c>
      <c r="S11" s="122"/>
      <c r="T11" s="120">
        <f t="shared" si="0"/>
        <v>400</v>
      </c>
    </row>
    <row r="12" spans="1:20" ht="16.2" thickBot="1" x14ac:dyDescent="0.35">
      <c r="Q12" s="129"/>
      <c r="R12" s="130"/>
      <c r="S12" s="123" t="s">
        <v>10</v>
      </c>
      <c r="T12" s="124">
        <f>SUM(T6:T11)</f>
        <v>2330</v>
      </c>
    </row>
    <row r="13" spans="1:20" ht="15.6" thickTop="1" x14ac:dyDescent="0.25">
      <c r="Q13" s="129"/>
      <c r="R13" s="128"/>
    </row>
    <row r="14" spans="1:20" ht="15.6" x14ac:dyDescent="0.3">
      <c r="Q14" s="116"/>
      <c r="R14" s="125"/>
      <c r="S14" s="125" t="s">
        <v>63</v>
      </c>
      <c r="T14" s="121">
        <f>T12/B5</f>
        <v>23.3</v>
      </c>
    </row>
    <row r="16" spans="1:20" ht="15.6" x14ac:dyDescent="0.3">
      <c r="S16" s="133" t="s">
        <v>74</v>
      </c>
      <c r="T16" s="121">
        <f>T14*1.25</f>
        <v>29.125</v>
      </c>
    </row>
    <row r="17" spans="1:20" ht="15.6" x14ac:dyDescent="0.3">
      <c r="A17" s="114" t="s">
        <v>75</v>
      </c>
    </row>
    <row r="20" spans="1:20" ht="15.6" x14ac:dyDescent="0.3">
      <c r="B20" s="117" t="s">
        <v>59</v>
      </c>
      <c r="C20" s="117"/>
      <c r="D20" s="117" t="s">
        <v>48</v>
      </c>
      <c r="E20" s="117" t="s">
        <v>60</v>
      </c>
      <c r="F20" s="118" t="s">
        <v>39</v>
      </c>
      <c r="G20" s="118" t="s">
        <v>40</v>
      </c>
      <c r="H20" s="118" t="s">
        <v>29</v>
      </c>
      <c r="I20" s="118" t="s">
        <v>30</v>
      </c>
      <c r="J20" s="118" t="s">
        <v>31</v>
      </c>
      <c r="K20" s="118" t="s">
        <v>32</v>
      </c>
      <c r="L20" s="118" t="s">
        <v>33</v>
      </c>
      <c r="M20" s="118" t="s">
        <v>34</v>
      </c>
      <c r="N20" s="118" t="s">
        <v>35</v>
      </c>
      <c r="O20" s="118" t="s">
        <v>36</v>
      </c>
      <c r="P20" s="118" t="s">
        <v>37</v>
      </c>
      <c r="Q20" s="118" t="s">
        <v>38</v>
      </c>
      <c r="R20" s="118" t="s">
        <v>39</v>
      </c>
      <c r="S20" s="118" t="s">
        <v>40</v>
      </c>
      <c r="T20" s="118" t="s">
        <v>10</v>
      </c>
    </row>
    <row r="21" spans="1:20" ht="15.6" x14ac:dyDescent="0.3">
      <c r="A21" s="114" t="s">
        <v>77</v>
      </c>
      <c r="B21" s="134">
        <v>100</v>
      </c>
    </row>
    <row r="22" spans="1:20" x14ac:dyDescent="0.25">
      <c r="A22" s="116" t="s">
        <v>78</v>
      </c>
      <c r="D22" s="115" t="s">
        <v>26</v>
      </c>
      <c r="E22" s="119">
        <v>2.6</v>
      </c>
      <c r="L22" s="115">
        <v>2</v>
      </c>
      <c r="T22" s="120">
        <f>SUM(F22:S22)*$B$5*E22</f>
        <v>520</v>
      </c>
    </row>
    <row r="23" spans="1:20" x14ac:dyDescent="0.25">
      <c r="A23" s="116" t="s">
        <v>79</v>
      </c>
      <c r="D23" s="115" t="s">
        <v>26</v>
      </c>
      <c r="E23" s="119">
        <v>2.9</v>
      </c>
      <c r="L23" s="115">
        <v>1</v>
      </c>
      <c r="T23" s="120">
        <f t="shared" ref="T23:T28" si="1">SUM(F23:S23)*$B$5*E23</f>
        <v>290</v>
      </c>
    </row>
    <row r="24" spans="1:20" x14ac:dyDescent="0.25">
      <c r="A24" s="116" t="s">
        <v>80</v>
      </c>
      <c r="D24" s="115" t="s">
        <v>26</v>
      </c>
      <c r="E24" s="119">
        <v>12.8</v>
      </c>
      <c r="L24" s="115">
        <v>1</v>
      </c>
      <c r="T24" s="120">
        <f t="shared" si="1"/>
        <v>1280</v>
      </c>
    </row>
    <row r="25" spans="1:20" x14ac:dyDescent="0.25">
      <c r="A25" s="116" t="s">
        <v>81</v>
      </c>
      <c r="D25" s="115" t="s">
        <v>15</v>
      </c>
      <c r="E25" s="119">
        <v>0.5</v>
      </c>
      <c r="L25" s="115">
        <v>1</v>
      </c>
      <c r="T25" s="120">
        <f t="shared" si="1"/>
        <v>50</v>
      </c>
    </row>
    <row r="26" spans="1:20" x14ac:dyDescent="0.25">
      <c r="A26" s="116" t="s">
        <v>76</v>
      </c>
      <c r="D26" s="115" t="s">
        <v>26</v>
      </c>
      <c r="E26" s="119">
        <v>20</v>
      </c>
      <c r="L26" s="115">
        <v>1</v>
      </c>
      <c r="T26" s="120">
        <f t="shared" si="1"/>
        <v>2000</v>
      </c>
    </row>
    <row r="27" spans="1:20" x14ac:dyDescent="0.25">
      <c r="A27" s="116" t="s">
        <v>82</v>
      </c>
      <c r="D27" s="115" t="s">
        <v>15</v>
      </c>
      <c r="E27" s="119">
        <v>6</v>
      </c>
      <c r="L27" s="115">
        <v>1</v>
      </c>
      <c r="T27" s="120">
        <f t="shared" si="1"/>
        <v>600</v>
      </c>
    </row>
    <row r="28" spans="1:20" x14ac:dyDescent="0.25">
      <c r="A28" s="116" t="s">
        <v>83</v>
      </c>
      <c r="D28" s="115" t="s">
        <v>15</v>
      </c>
      <c r="E28" s="119">
        <f>3*3000/4/B21</f>
        <v>22.5</v>
      </c>
      <c r="L28" s="115">
        <v>1</v>
      </c>
      <c r="Q28" s="128"/>
      <c r="R28" s="128"/>
      <c r="S28" s="122"/>
      <c r="T28" s="120">
        <f t="shared" si="1"/>
        <v>2250</v>
      </c>
    </row>
    <row r="29" spans="1:20" ht="16.2" thickBot="1" x14ac:dyDescent="0.35">
      <c r="Q29" s="129"/>
      <c r="R29" s="130"/>
      <c r="S29" s="123" t="s">
        <v>10</v>
      </c>
      <c r="T29" s="124">
        <f>SUM(T22:T28)</f>
        <v>6990</v>
      </c>
    </row>
    <row r="30" spans="1:20" ht="15.6" thickTop="1" x14ac:dyDescent="0.25">
      <c r="Q30" s="129"/>
      <c r="R30" s="128"/>
    </row>
    <row r="31" spans="1:20" ht="15.6" x14ac:dyDescent="0.3">
      <c r="Q31" s="116"/>
      <c r="R31" s="125"/>
      <c r="S31" s="125" t="s">
        <v>63</v>
      </c>
      <c r="T31" s="121">
        <f>T29/B21</f>
        <v>69.900000000000006</v>
      </c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HFR-Budget</vt:lpstr>
      <vt:lpstr>Monthly Flows</vt:lpstr>
      <vt:lpstr>Vet&amp;Breeding</vt:lpstr>
      <vt:lpstr>'HFR-Budget'!Print_Area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2019-05-09T18:38:40Z</cp:lastPrinted>
  <dcterms:created xsi:type="dcterms:W3CDTF">2015-08-20T20:25:14Z</dcterms:created>
  <dcterms:modified xsi:type="dcterms:W3CDTF">2020-05-20T17:50:06Z</dcterms:modified>
</cp:coreProperties>
</file>