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Misc\"/>
    </mc:Choice>
  </mc:AlternateContent>
  <bookViews>
    <workbookView xWindow="0" yWindow="0" windowWidth="15345" windowHeight="4635" activeTab="1"/>
  </bookViews>
  <sheets>
    <sheet name="Mkt Yield With Packout  " sheetId="2" r:id="rId1"/>
    <sheet name="FieldRun" sheetId="3" r:id="rId2"/>
  </sheets>
  <externalReferences>
    <externalReference r:id="rId3"/>
    <externalReference r:id="rId4"/>
    <externalReference r:id="rId5"/>
  </externalReferences>
  <definedNames>
    <definedName name="_MH30">'[1] Input Price - 2016-17'!$D$90</definedName>
    <definedName name="Acres">'[2]COP Line-Item'!$B$6:$B$6</definedName>
    <definedName name="AZA">'[1] Input Price - 2016-17'!$D$62</definedName>
    <definedName name="Buc2EC2x">'[1] Input Price - 2016-17'!$D$69</definedName>
    <definedName name="CAirspray5">'[1] Input Price - 2016-17'!$D$38</definedName>
    <definedName name="chlorine">'[1] Input Price - 2016-17'!$D$73</definedName>
    <definedName name="Dithane">'[1] Input Price - 2016-17'!$D$76</definedName>
    <definedName name="DualMagnum">'[1] Input Price - 2016-17'!$D$77</definedName>
    <definedName name="Goal">'[1] Input Price - 2016-17'!$D$81</definedName>
    <definedName name="Gross_Yield">'[2]COP Line-Item'!$B$8</definedName>
    <definedName name="Historical" localSheetId="1">'[3]COP Line-Item'!$B$7</definedName>
    <definedName name="Historical" localSheetId="0">'[3]COP Line-Item'!$B$7</definedName>
    <definedName name="Historical">'[3]COP Line-Item'!$B$7</definedName>
    <definedName name="Manzate">'[1] Input Price - 2016-17'!$D$88</definedName>
    <definedName name="MethSeed">'[1] Input Price - 2016-17'!$D$89</definedName>
    <definedName name="Micron">'[1] Input Price - 2016-17'!$D$29</definedName>
    <definedName name="mpede">'[1] Input Price - 2016-17'!$D$93</definedName>
    <definedName name="Pristine">'[1] Input Price - 2016-17'!$D$99</definedName>
    <definedName name="Rpowermax">'[1] Input Price - 2016-17'!$D$106</definedName>
    <definedName name="Seed_cwtperacre">'[2]COP Line-Item'!$B$7</definedName>
    <definedName name="TrialHistorical" localSheetId="1">'[3]COP Line-Item'!$B$6:$B$6</definedName>
    <definedName name="TrialHistorical" localSheetId="0">'[3]COP Line-Item'!$B$6:$B$6</definedName>
    <definedName name="TrialHistorical">'[3]COP Line-Item'!$B$6:$B$6</definedName>
    <definedName name="Vydate">'[1] Input Price - 2016-17'!$D$114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5" i="2"/>
  <c r="D91" i="3" l="1"/>
  <c r="E91" i="3" s="1"/>
  <c r="C91" i="3"/>
  <c r="D86" i="3"/>
  <c r="E86" i="3" s="1"/>
  <c r="C86" i="3"/>
  <c r="E75" i="3"/>
  <c r="F68" i="3"/>
  <c r="F67" i="3"/>
  <c r="F66" i="3"/>
  <c r="F63" i="3"/>
  <c r="F64" i="3" s="1"/>
  <c r="F60" i="3"/>
  <c r="C59" i="3"/>
  <c r="F59" i="3" s="1"/>
  <c r="F58" i="3"/>
  <c r="C58" i="3"/>
  <c r="F57" i="3"/>
  <c r="F56" i="3"/>
  <c r="F53" i="3"/>
  <c r="F51" i="3"/>
  <c r="F50" i="3"/>
  <c r="F49" i="3"/>
  <c r="F48" i="3"/>
  <c r="F45" i="3"/>
  <c r="F44" i="3"/>
  <c r="F43" i="3"/>
  <c r="F42" i="3"/>
  <c r="F41" i="3"/>
  <c r="F38" i="3"/>
  <c r="F37" i="3"/>
  <c r="F36" i="3"/>
  <c r="F35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1" i="3"/>
  <c r="F9" i="3"/>
  <c r="F8" i="3"/>
  <c r="F7" i="3"/>
  <c r="F4" i="3"/>
  <c r="F5" i="3" s="1"/>
  <c r="F2" i="3"/>
  <c r="E81" i="2"/>
  <c r="E80" i="2"/>
  <c r="E79" i="2"/>
  <c r="F73" i="2"/>
  <c r="F72" i="2"/>
  <c r="F71" i="2"/>
  <c r="F74" i="2" s="1"/>
  <c r="F68" i="2"/>
  <c r="F67" i="2"/>
  <c r="F69" i="2" s="1"/>
  <c r="F64" i="2"/>
  <c r="F63" i="2"/>
  <c r="C62" i="2"/>
  <c r="F62" i="2" s="1"/>
  <c r="F61" i="2"/>
  <c r="F60" i="2"/>
  <c r="F57" i="2"/>
  <c r="F55" i="2"/>
  <c r="F54" i="2"/>
  <c r="F53" i="2"/>
  <c r="F52" i="2"/>
  <c r="F49" i="2"/>
  <c r="F48" i="2"/>
  <c r="F47" i="2"/>
  <c r="F46" i="2"/>
  <c r="F45" i="2"/>
  <c r="F50" i="2"/>
  <c r="F42" i="2"/>
  <c r="F41" i="2"/>
  <c r="F40" i="2"/>
  <c r="F39" i="2"/>
  <c r="F43" i="2" s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37" i="2" s="1"/>
  <c r="F16" i="2"/>
  <c r="F14" i="2"/>
  <c r="F13" i="2"/>
  <c r="F12" i="2"/>
  <c r="F17" i="2" s="1"/>
  <c r="F9" i="2"/>
  <c r="F10" i="2" s="1"/>
  <c r="C7" i="2"/>
  <c r="D91" i="2" s="1"/>
  <c r="F6" i="2"/>
  <c r="F5" i="2"/>
  <c r="F4" i="2"/>
  <c r="F3" i="2"/>
  <c r="F39" i="3" l="1"/>
  <c r="F61" i="3"/>
  <c r="F12" i="3"/>
  <c r="F33" i="3"/>
  <c r="F46" i="3"/>
  <c r="F69" i="3"/>
  <c r="F7" i="2"/>
  <c r="F56" i="2"/>
  <c r="F65" i="2"/>
  <c r="F52" i="3"/>
  <c r="F54" i="3" s="1"/>
  <c r="C91" i="2"/>
  <c r="E91" i="2"/>
  <c r="E7" i="2"/>
  <c r="D96" i="2" s="1"/>
  <c r="F70" i="3" l="1"/>
  <c r="F58" i="2"/>
  <c r="F75" i="2" s="1"/>
  <c r="F71" i="3"/>
  <c r="F72" i="3" s="1"/>
  <c r="C96" i="2"/>
  <c r="E96" i="2"/>
  <c r="F76" i="2" l="1"/>
  <c r="F77" i="2" s="1"/>
  <c r="C92" i="3"/>
  <c r="C87" i="3"/>
  <c r="E76" i="3"/>
  <c r="D92" i="3"/>
  <c r="D87" i="3"/>
  <c r="E77" i="3"/>
  <c r="E92" i="3"/>
  <c r="E87" i="3"/>
  <c r="E82" i="3"/>
  <c r="E80" i="3"/>
  <c r="E97" i="2" l="1"/>
  <c r="D97" i="2"/>
  <c r="C92" i="2"/>
  <c r="E92" i="2"/>
  <c r="E82" i="2"/>
  <c r="E83" i="2" s="1"/>
  <c r="E98" i="2" s="1"/>
  <c r="E78" i="3"/>
  <c r="D93" i="3" s="1"/>
  <c r="E85" i="2"/>
  <c r="C97" i="2"/>
  <c r="D92" i="2"/>
  <c r="E87" i="2"/>
  <c r="C93" i="3"/>
  <c r="E93" i="2"/>
  <c r="D93" i="2"/>
  <c r="C93" i="2"/>
  <c r="E84" i="2" l="1"/>
  <c r="C94" i="2" s="1"/>
  <c r="C98" i="2"/>
  <c r="D98" i="2"/>
  <c r="E79" i="3"/>
  <c r="D88" i="3"/>
  <c r="E88" i="3"/>
  <c r="C88" i="3"/>
  <c r="E93" i="3"/>
  <c r="E94" i="3"/>
  <c r="E89" i="3"/>
  <c r="D94" i="3"/>
  <c r="D89" i="3"/>
  <c r="E83" i="3"/>
  <c r="E81" i="3"/>
  <c r="C94" i="3"/>
  <c r="C89" i="3"/>
  <c r="C99" i="2"/>
  <c r="E99" i="2"/>
  <c r="D99" i="2"/>
  <c r="E88" i="2"/>
  <c r="E86" i="2" l="1"/>
  <c r="D94" i="2"/>
  <c r="E94" i="2"/>
</calcChain>
</file>

<file path=xl/sharedStrings.xml><?xml version="1.0" encoding="utf-8"?>
<sst xmlns="http://schemas.openxmlformats.org/spreadsheetml/2006/main" count="300" uniqueCount="131">
  <si>
    <t xml:space="preserve">Quanity </t>
  </si>
  <si>
    <t xml:space="preserve">Unit </t>
  </si>
  <si>
    <t xml:space="preserve">Price </t>
  </si>
  <si>
    <t xml:space="preserve">$/acre </t>
  </si>
  <si>
    <t xml:space="preserve">Marketable Yield </t>
  </si>
  <si>
    <t xml:space="preserve">Super Colossal </t>
  </si>
  <si>
    <t>50 # Sack</t>
  </si>
  <si>
    <t>Colossal</t>
  </si>
  <si>
    <t>Jumbo</t>
  </si>
  <si>
    <t xml:space="preserve">Medium </t>
  </si>
  <si>
    <t xml:space="preserve">Total </t>
  </si>
  <si>
    <t xml:space="preserve">Seed </t>
  </si>
  <si>
    <t>pail</t>
  </si>
  <si>
    <t xml:space="preserve">Subtotal Seed </t>
  </si>
  <si>
    <t>Fertilizer:</t>
  </si>
  <si>
    <t>Dry Nitrogen - Pre-plant</t>
  </si>
  <si>
    <t>lb</t>
  </si>
  <si>
    <t>Dry P2O5</t>
  </si>
  <si>
    <t>Micronutrients/Sulfuric Acid</t>
  </si>
  <si>
    <t>acre</t>
  </si>
  <si>
    <t>Liquid Nitrogen</t>
  </si>
  <si>
    <t>Plant Protection:</t>
  </si>
  <si>
    <t>Chloripicrin</t>
  </si>
  <si>
    <t xml:space="preserve">gal </t>
  </si>
  <si>
    <t>Roundup Power Max</t>
  </si>
  <si>
    <t>fl oz</t>
  </si>
  <si>
    <t>Prowl H2O (2x)</t>
  </si>
  <si>
    <t>pint</t>
  </si>
  <si>
    <t>Poast 1.5EC</t>
  </si>
  <si>
    <t xml:space="preserve">Dual II Magnum 7.64EC </t>
  </si>
  <si>
    <t>Outlook (2X)</t>
  </si>
  <si>
    <t>oz</t>
  </si>
  <si>
    <t>Adjuvants (10X)</t>
  </si>
  <si>
    <t>Radiant  (2x)</t>
  </si>
  <si>
    <t>Lannate LV  (2x)</t>
  </si>
  <si>
    <t>Movento (2X)</t>
  </si>
  <si>
    <t xml:space="preserve">AZA-Direct </t>
  </si>
  <si>
    <t xml:space="preserve">M-Pede </t>
  </si>
  <si>
    <t>qt</t>
  </si>
  <si>
    <t xml:space="preserve">Bravo Weatherstik </t>
  </si>
  <si>
    <t>pt</t>
  </si>
  <si>
    <t xml:space="preserve">Dithane 75DF Rainshield </t>
  </si>
  <si>
    <t>quarts</t>
  </si>
  <si>
    <t xml:space="preserve">Quadris </t>
  </si>
  <si>
    <t xml:space="preserve">Pristine </t>
  </si>
  <si>
    <t>Chlorine Dioxide (drip lines)</t>
  </si>
  <si>
    <t>gal</t>
  </si>
  <si>
    <t xml:space="preserve">MH30 Sprout Inhibitor </t>
  </si>
  <si>
    <t>Custom &amp; Consultants:</t>
  </si>
  <si>
    <t>Custom Fertilize</t>
  </si>
  <si>
    <t>Custom Fumigate</t>
  </si>
  <si>
    <t>Hand Weed</t>
  </si>
  <si>
    <t>Soil Testing</t>
  </si>
  <si>
    <t>Irrigation</t>
  </si>
  <si>
    <t xml:space="preserve">ac </t>
  </si>
  <si>
    <t>Irrigation Fuel pump (diesel )</t>
  </si>
  <si>
    <t>Irrigation Repair ( pump)</t>
  </si>
  <si>
    <t>ac</t>
  </si>
  <si>
    <t xml:space="preserve">Drip Tape/Supplies </t>
  </si>
  <si>
    <t>Irrigation Set-up/Removal Labor</t>
  </si>
  <si>
    <t>hrs</t>
  </si>
  <si>
    <t>Drip Tape recycling/haul away</t>
  </si>
  <si>
    <t>Total Irrigation</t>
  </si>
  <si>
    <t>Machinery</t>
  </si>
  <si>
    <t xml:space="preserve">Equipment Fuel </t>
  </si>
  <si>
    <t xml:space="preserve">Road Gas </t>
  </si>
  <si>
    <t xml:space="preserve">Road Diesel </t>
  </si>
  <si>
    <t xml:space="preserve">Repairs </t>
  </si>
  <si>
    <t>Lube</t>
  </si>
  <si>
    <t xml:space="preserve">Fuel For Hauling </t>
  </si>
  <si>
    <t>Total Fuel, Lube, Repairs</t>
  </si>
  <si>
    <t>Labor</t>
  </si>
  <si>
    <t xml:space="preserve">Equipment Labor </t>
  </si>
  <si>
    <t xml:space="preserve"> Irrigation Labor </t>
  </si>
  <si>
    <t xml:space="preserve">Sorting/Pickers Labor </t>
  </si>
  <si>
    <t xml:space="preserve">Truck Driver Labor </t>
  </si>
  <si>
    <t xml:space="preserve">General Labor </t>
  </si>
  <si>
    <t xml:space="preserve">Total General, Equipment &amp; Harvest Labor </t>
  </si>
  <si>
    <t>Storage &amp; Packing :</t>
  </si>
  <si>
    <t xml:space="preserve">Bin Rental </t>
  </si>
  <si>
    <t>50# sacks</t>
  </si>
  <si>
    <t xml:space="preserve">Packing </t>
  </si>
  <si>
    <t xml:space="preserve">Storage and Packing Subtotal </t>
  </si>
  <si>
    <t>Other (Fees and Insurance):</t>
  </si>
  <si>
    <t>Crop Insurance</t>
  </si>
  <si>
    <t xml:space="preserve">acre </t>
  </si>
  <si>
    <t>Assessments</t>
  </si>
  <si>
    <t xml:space="preserve">GAP Audit </t>
  </si>
  <si>
    <t xml:space="preserve">Subtotal Fees </t>
  </si>
  <si>
    <t xml:space="preserve">Subtotal Variable Costs  </t>
  </si>
  <si>
    <t xml:space="preserve">Interest on Operating Capital </t>
  </si>
  <si>
    <t xml:space="preserve">Total Operating Costs </t>
  </si>
  <si>
    <t xml:space="preserve">Fixed Costs </t>
  </si>
  <si>
    <t xml:space="preserve">Depreciation, Interest, Housing &amp;  Insurance On Equipment </t>
  </si>
  <si>
    <t>Land</t>
  </si>
  <si>
    <t xml:space="preserve">Management </t>
  </si>
  <si>
    <t xml:space="preserve">Overhead </t>
  </si>
  <si>
    <t>Total Fixed Costs</t>
  </si>
  <si>
    <t xml:space="preserve">Total Operating and Fixed Costs </t>
  </si>
  <si>
    <t xml:space="preserve">Returns over operating Costs </t>
  </si>
  <si>
    <t>Returns over Fixed Costs</t>
  </si>
  <si>
    <t xml:space="preserve">Operating Cost Per (paid50 # sack)  </t>
  </si>
  <si>
    <t>Total Cost per (paid 50# sack )</t>
  </si>
  <si>
    <t>-</t>
  </si>
  <si>
    <t>+</t>
  </si>
  <si>
    <t xml:space="preserve">Paid Yield </t>
  </si>
  <si>
    <t>Breakeven Yield 50# sack</t>
  </si>
  <si>
    <t>Operating  Cost 50# sack</t>
  </si>
  <si>
    <t>Ownership Cost 50 # sack</t>
  </si>
  <si>
    <t xml:space="preserve">TC </t>
  </si>
  <si>
    <t xml:space="preserve">Yield </t>
  </si>
  <si>
    <t xml:space="preserve">Operating  Cost 50# sacks </t>
  </si>
  <si>
    <t>Ownership Cost 50# sacks</t>
  </si>
  <si>
    <t xml:space="preserve">Field Run Yield </t>
  </si>
  <si>
    <t xml:space="preserve">cwt </t>
  </si>
  <si>
    <t xml:space="preserve">Buctril 2EC </t>
  </si>
  <si>
    <t>Adjuvants (5X)</t>
  </si>
  <si>
    <t xml:space="preserve">Goal 2XL  </t>
  </si>
  <si>
    <t>Custom Fumigate - Deep</t>
  </si>
  <si>
    <t>Fuel for Hauling</t>
  </si>
  <si>
    <t>Storage :</t>
  </si>
  <si>
    <t>Storage subtotal</t>
  </si>
  <si>
    <t xml:space="preserve">Per Acre </t>
  </si>
  <si>
    <t xml:space="preserve">Operating Cost (per cwt)  </t>
  </si>
  <si>
    <t>Total Cost per (cwt)</t>
  </si>
  <si>
    <t xml:space="preserve"> Yield </t>
  </si>
  <si>
    <t>Breakeven Yield (Per Cwt)</t>
  </si>
  <si>
    <t>Ownership Cost (Per Cwt)</t>
  </si>
  <si>
    <t>Operating  Cost (Per Cwt)</t>
  </si>
  <si>
    <t>K20</t>
  </si>
  <si>
    <t>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</si>
</sst>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6" formatCode="0.0"/>
    <numFmt numFmtId="167" formatCode="&quot;$&quot;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rgb="FFC00000"/>
      <name val="Calibri"/>
      <family val="2"/>
      <scheme val="minor"/>
    </font>
    <font>
      <sz val="10"/>
      <name val="Arial"/>
      <family val="2"/>
    </font>
    <font>
      <b/>
      <sz val="17"/>
      <name val="Calibri"/>
      <family val="2"/>
      <scheme val="minor"/>
    </font>
    <font>
      <sz val="10"/>
      <name val="MS Sans Serif"/>
      <family val="2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41" fontId="3" fillId="0" borderId="0" xfId="0" applyNumberFormat="1" applyFont="1" applyFill="1" applyBorder="1"/>
    <xf numFmtId="0" fontId="0" fillId="0" borderId="0" xfId="0" applyFont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Font="1" applyBorder="1"/>
    <xf numFmtId="2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4" fontId="0" fillId="0" borderId="0" xfId="0" applyNumberFormat="1" applyFont="1" applyBorder="1"/>
    <xf numFmtId="16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/>
    <xf numFmtId="0" fontId="3" fillId="0" borderId="0" xfId="3" applyFont="1" applyFill="1" applyBorder="1"/>
    <xf numFmtId="165" fontId="3" fillId="0" borderId="0" xfId="3" applyNumberFormat="1" applyFont="1" applyFill="1" applyBorder="1"/>
    <xf numFmtId="0" fontId="6" fillId="0" borderId="0" xfId="3" applyFont="1" applyFill="1" applyBorder="1"/>
    <xf numFmtId="165" fontId="6" fillId="0" borderId="0" xfId="3" applyNumberFormat="1" applyFont="1" applyFill="1" applyAlignment="1" applyProtection="1">
      <alignment horizontal="left"/>
    </xf>
    <xf numFmtId="0" fontId="3" fillId="0" borderId="0" xfId="3" applyFont="1" applyFill="1" applyBorder="1" applyAlignment="1" applyProtection="1">
      <alignment horizontal="right"/>
      <protection locked="0"/>
    </xf>
    <xf numFmtId="0" fontId="7" fillId="0" borderId="0" xfId="4" applyFont="1" applyFill="1" applyBorder="1" applyProtection="1"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165" fontId="3" fillId="0" borderId="0" xfId="5" applyNumberFormat="1" applyFont="1" applyFill="1" applyBorder="1" applyProtection="1">
      <protection locked="0"/>
    </xf>
    <xf numFmtId="165" fontId="6" fillId="0" borderId="0" xfId="3" applyNumberFormat="1" applyFont="1" applyFill="1"/>
    <xf numFmtId="0" fontId="3" fillId="0" borderId="0" xfId="0" applyFont="1" applyFill="1" applyBorder="1"/>
    <xf numFmtId="165" fontId="5" fillId="0" borderId="0" xfId="3" applyNumberFormat="1" applyFont="1" applyFill="1" applyBorder="1"/>
    <xf numFmtId="0" fontId="0" fillId="0" borderId="0" xfId="0" applyFont="1" applyFill="1"/>
    <xf numFmtId="166" fontId="3" fillId="0" borderId="0" xfId="3" applyNumberFormat="1" applyFont="1" applyFill="1" applyBorder="1" applyProtection="1">
      <protection locked="0"/>
    </xf>
    <xf numFmtId="0" fontId="7" fillId="0" borderId="0" xfId="4" applyFont="1" applyFill="1" applyBorder="1" applyAlignment="1" applyProtection="1">
      <alignment horizontal="right"/>
      <protection locked="0"/>
    </xf>
    <xf numFmtId="166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 applyProtection="1">
      <alignment horizontal="center" vertical="center"/>
      <protection locked="0"/>
    </xf>
    <xf numFmtId="165" fontId="3" fillId="0" borderId="0" xfId="4" applyNumberFormat="1" applyFont="1" applyFill="1" applyBorder="1" applyProtection="1"/>
    <xf numFmtId="0" fontId="3" fillId="0" borderId="0" xfId="4" applyFont="1" applyFill="1" applyBorder="1" applyAlignment="1" applyProtection="1">
      <alignment horizontal="right"/>
      <protection locked="0"/>
    </xf>
    <xf numFmtId="165" fontId="6" fillId="0" borderId="0" xfId="3" applyNumberFormat="1" applyFont="1" applyFill="1" applyBorder="1"/>
    <xf numFmtId="0" fontId="3" fillId="0" borderId="0" xfId="4" applyFont="1" applyFill="1" applyBorder="1" applyProtection="1"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7" fillId="2" borderId="0" xfId="4" applyFont="1" applyFill="1" applyBorder="1" applyAlignment="1" applyProtection="1">
      <alignment horizontal="right"/>
      <protection locked="0"/>
    </xf>
    <xf numFmtId="0" fontId="7" fillId="2" borderId="0" xfId="4" applyFont="1" applyFill="1" applyBorder="1" applyProtection="1">
      <protection locked="0"/>
    </xf>
    <xf numFmtId="0" fontId="7" fillId="2" borderId="0" xfId="4" applyFont="1" applyFill="1" applyBorder="1" applyAlignment="1" applyProtection="1">
      <alignment horizontal="center" vertical="center"/>
      <protection locked="0"/>
    </xf>
    <xf numFmtId="165" fontId="3" fillId="2" borderId="0" xfId="4" applyNumberFormat="1" applyFont="1" applyFill="1" applyBorder="1" applyProtection="1"/>
    <xf numFmtId="165" fontId="3" fillId="2" borderId="0" xfId="3" applyNumberFormat="1" applyFont="1" applyFill="1" applyBorder="1"/>
    <xf numFmtId="0" fontId="3" fillId="0" borderId="0" xfId="5" applyFont="1" applyFill="1" applyBorder="1" applyProtection="1">
      <protection locked="0"/>
    </xf>
    <xf numFmtId="166" fontId="3" fillId="0" borderId="0" xfId="5" applyNumberFormat="1" applyFont="1" applyFill="1" applyBorder="1" applyProtection="1">
      <protection locked="0"/>
    </xf>
    <xf numFmtId="165" fontId="5" fillId="0" borderId="0" xfId="5" applyNumberFormat="1" applyFont="1" applyFill="1" applyBorder="1"/>
    <xf numFmtId="0" fontId="5" fillId="0" borderId="0" xfId="3" applyFont="1" applyFill="1" applyBorder="1" applyAlignment="1">
      <alignment horizontal="left"/>
    </xf>
    <xf numFmtId="0" fontId="3" fillId="2" borderId="0" xfId="5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/>
    <xf numFmtId="0" fontId="3" fillId="0" borderId="0" xfId="5" applyFont="1" applyFill="1" applyBorder="1" applyAlignment="1" applyProtection="1">
      <alignment horizontal="center" vertical="center"/>
      <protection locked="0"/>
    </xf>
    <xf numFmtId="165" fontId="3" fillId="0" borderId="0" xfId="5" applyNumberFormat="1" applyFont="1" applyFill="1" applyBorder="1"/>
    <xf numFmtId="165" fontId="6" fillId="0" borderId="0" xfId="3" applyNumberFormat="1" applyFont="1" applyFill="1" applyAlignment="1">
      <alignment horizontal="left"/>
    </xf>
    <xf numFmtId="0" fontId="3" fillId="0" borderId="0" xfId="0" applyFont="1" applyFill="1" applyBorder="1" applyProtection="1">
      <protection locked="0"/>
    </xf>
    <xf numFmtId="165" fontId="5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/>
    <xf numFmtId="0" fontId="0" fillId="0" borderId="0" xfId="0" applyFont="1" applyFill="1" applyBorder="1"/>
    <xf numFmtId="43" fontId="3" fillId="0" borderId="0" xfId="3" applyNumberFormat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5" fillId="0" borderId="0" xfId="1" applyNumberFormat="1" applyFont="1" applyBorder="1"/>
    <xf numFmtId="0" fontId="3" fillId="0" borderId="0" xfId="3" applyFont="1" applyFill="1" applyBorder="1" applyProtection="1">
      <protection locked="0"/>
    </xf>
    <xf numFmtId="41" fontId="3" fillId="0" borderId="0" xfId="3" applyNumberFormat="1" applyFont="1" applyFill="1" applyBorder="1" applyProtection="1">
      <protection locked="0"/>
    </xf>
    <xf numFmtId="41" fontId="3" fillId="0" borderId="0" xfId="3" applyNumberFormat="1" applyFont="1" applyFill="1" applyBorder="1" applyAlignment="1" applyProtection="1">
      <alignment horizontal="left"/>
      <protection locked="0"/>
    </xf>
    <xf numFmtId="167" fontId="3" fillId="0" borderId="0" xfId="3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right"/>
    </xf>
    <xf numFmtId="0" fontId="0" fillId="0" borderId="0" xfId="0" applyFont="1" applyAlignment="1"/>
    <xf numFmtId="2" fontId="3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165" fontId="9" fillId="0" borderId="0" xfId="0" applyNumberFormat="1" applyFont="1" applyBorder="1"/>
    <xf numFmtId="0" fontId="3" fillId="3" borderId="0" xfId="0" applyFont="1" applyFill="1" applyBorder="1"/>
    <xf numFmtId="49" fontId="3" fillId="3" borderId="0" xfId="4" applyNumberFormat="1" applyFont="1" applyFill="1" applyBorder="1" applyAlignment="1">
      <alignment horizontal="center"/>
    </xf>
    <xf numFmtId="0" fontId="2" fillId="0" borderId="0" xfId="0" applyFont="1" applyFill="1"/>
    <xf numFmtId="9" fontId="3" fillId="3" borderId="0" xfId="2" applyFont="1" applyFill="1" applyBorder="1"/>
    <xf numFmtId="0" fontId="3" fillId="3" borderId="0" xfId="0" applyFont="1" applyFill="1" applyBorder="1" applyAlignment="1">
      <alignment horizontal="center"/>
    </xf>
    <xf numFmtId="1" fontId="3" fillId="3" borderId="0" xfId="0" applyNumberFormat="1" applyFont="1" applyFill="1" applyBorder="1"/>
    <xf numFmtId="0" fontId="10" fillId="0" borderId="0" xfId="0" applyFont="1" applyBorder="1"/>
    <xf numFmtId="165" fontId="3" fillId="3" borderId="0" xfId="1" applyNumberFormat="1" applyFont="1" applyFill="1" applyBorder="1"/>
    <xf numFmtId="165" fontId="3" fillId="3" borderId="0" xfId="1" applyNumberFormat="1" applyFont="1" applyFill="1" applyBorder="1" applyAlignment="1">
      <alignment horizontal="right"/>
    </xf>
    <xf numFmtId="0" fontId="10" fillId="0" borderId="0" xfId="0" applyFont="1"/>
    <xf numFmtId="165" fontId="11" fillId="0" borderId="0" xfId="1" applyNumberFormat="1" applyFont="1" applyFill="1" applyBorder="1" applyAlignment="1">
      <alignment horizontal="right"/>
    </xf>
    <xf numFmtId="165" fontId="11" fillId="0" borderId="0" xfId="3" applyNumberFormat="1" applyFont="1" applyFill="1" applyBorder="1"/>
    <xf numFmtId="0" fontId="12" fillId="0" borderId="0" xfId="0" applyFont="1" applyFill="1"/>
    <xf numFmtId="165" fontId="11" fillId="0" borderId="0" xfId="0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 applyProtection="1">
      <alignment horizontal="right"/>
      <protection locked="0"/>
    </xf>
    <xf numFmtId="41" fontId="3" fillId="0" borderId="0" xfId="3" applyNumberFormat="1" applyFont="1" applyFill="1" applyBorder="1" applyAlignment="1" applyProtection="1">
      <alignment horizontal="right"/>
      <protection locked="0"/>
    </xf>
  </cellXfs>
  <cellStyles count="6">
    <cellStyle name="Currency" xfId="1" builtinId="4"/>
    <cellStyle name="Normal" xfId="0" builtinId="0"/>
    <cellStyle name="Normal 2" xfId="5"/>
    <cellStyle name="Normal 2 3" xfId="4"/>
    <cellStyle name="Normal_Eastern Idaho Potatoes_0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a/Downloads/Onion_2019_packing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Y18%20COP%20(Burley%20RB)%20(1gg)_Apr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reenway/Downloads/CY18%20COP%20(Burley%20RB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ch_Input"/>
      <sheetName val="Mach_Output"/>
      <sheetName val="TV-Onion-2016-17"/>
      <sheetName val=" Input Price - 2016-1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">
          <cell r="D29">
            <v>6</v>
          </cell>
        </row>
        <row r="38">
          <cell r="D38">
            <v>15</v>
          </cell>
        </row>
        <row r="62">
          <cell r="D62">
            <v>2.08</v>
          </cell>
        </row>
        <row r="69">
          <cell r="D69">
            <v>9.3000000000000007</v>
          </cell>
        </row>
        <row r="73">
          <cell r="D73">
            <v>60</v>
          </cell>
        </row>
        <row r="76">
          <cell r="D76">
            <v>9.3000000000000007</v>
          </cell>
        </row>
        <row r="77">
          <cell r="D77">
            <v>12.5</v>
          </cell>
        </row>
        <row r="81">
          <cell r="D81">
            <v>10</v>
          </cell>
        </row>
        <row r="88">
          <cell r="D88">
            <v>8.33</v>
          </cell>
        </row>
        <row r="89">
          <cell r="D89">
            <v>2</v>
          </cell>
        </row>
        <row r="90">
          <cell r="D90">
            <v>24.24</v>
          </cell>
        </row>
        <row r="93">
          <cell r="D93">
            <v>10</v>
          </cell>
        </row>
        <row r="99">
          <cell r="D99">
            <v>3.5</v>
          </cell>
        </row>
        <row r="106">
          <cell r="D106">
            <v>0.19</v>
          </cell>
        </row>
        <row r="114">
          <cell r="D114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P Line-Item"/>
      <sheetName val="Depreciation &amp; Insurance"/>
      <sheetName val="Igric Format"/>
      <sheetName val="Fertilizer Worksheet"/>
      <sheetName val="Price Sheet"/>
      <sheetName val="COP Summary"/>
      <sheetName val="Sheet2"/>
      <sheetName val="Sheet3"/>
      <sheetName val="Depreciation &amp; Insurance (gg)"/>
    </sheetNames>
    <sheetDataSet>
      <sheetData sheetId="0"/>
      <sheetData sheetId="1">
        <row r="6">
          <cell r="B6">
            <v>1000</v>
          </cell>
        </row>
        <row r="7">
          <cell r="B7">
            <v>23</v>
          </cell>
        </row>
        <row r="8">
          <cell r="B8">
            <v>452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P Line-Item"/>
      <sheetName val="Depreciation &amp; Insurance"/>
      <sheetName val="Igric Format"/>
      <sheetName val="Fertilizer Worksheet"/>
      <sheetName val="Price Sheet"/>
      <sheetName val="COP Summary"/>
      <sheetName val="Sheet2"/>
      <sheetName val="Sheet3"/>
    </sheetNames>
    <sheetDataSet>
      <sheetData sheetId="0"/>
      <sheetData sheetId="1">
        <row r="6">
          <cell r="B6">
            <v>1000</v>
          </cell>
        </row>
        <row r="7">
          <cell r="B7">
            <v>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opLeftCell="A79" zoomScale="68" zoomScaleNormal="68" workbookViewId="0">
      <selection activeCell="G101" sqref="G101"/>
    </sheetView>
  </sheetViews>
  <sheetFormatPr defaultColWidth="8.85546875" defaultRowHeight="15" x14ac:dyDescent="0.25"/>
  <cols>
    <col min="1" max="1" width="21.85546875" style="8" customWidth="1"/>
    <col min="2" max="2" width="81.140625" style="8" customWidth="1"/>
    <col min="3" max="4" width="18.5703125" style="8" customWidth="1"/>
    <col min="5" max="5" width="21.42578125" style="8" customWidth="1"/>
    <col min="6" max="6" width="23.5703125" style="8" customWidth="1"/>
    <col min="7" max="9" width="8.85546875" style="8"/>
  </cols>
  <sheetData>
    <row r="1" spans="2:9" s="4" customFormat="1" ht="17.100000000000001" customHeight="1" x14ac:dyDescent="0.25">
      <c r="B1" s="1"/>
      <c r="C1" s="2" t="s">
        <v>0</v>
      </c>
      <c r="D1" s="2" t="s">
        <v>1</v>
      </c>
      <c r="E1" s="2" t="s">
        <v>2</v>
      </c>
      <c r="F1" s="2" t="s">
        <v>3</v>
      </c>
      <c r="G1" s="3"/>
      <c r="H1" s="3"/>
      <c r="I1" s="3"/>
    </row>
    <row r="2" spans="2:9" ht="18" customHeight="1" x14ac:dyDescent="0.35">
      <c r="B2" s="5" t="s">
        <v>4</v>
      </c>
      <c r="C2" s="6"/>
      <c r="D2" s="7"/>
      <c r="E2" s="6"/>
      <c r="F2" s="6"/>
    </row>
    <row r="3" spans="2:9" ht="18" customHeight="1" x14ac:dyDescent="0.35">
      <c r="B3" s="5" t="s">
        <v>5</v>
      </c>
      <c r="C3" s="7">
        <v>160</v>
      </c>
      <c r="D3" s="7" t="s">
        <v>6</v>
      </c>
      <c r="E3" s="9">
        <v>9.8808139534883725</v>
      </c>
      <c r="F3" s="10">
        <f>C3*E3</f>
        <v>1580.9302325581396</v>
      </c>
    </row>
    <row r="4" spans="2:9" ht="18" customHeight="1" x14ac:dyDescent="0.35">
      <c r="B4" s="5" t="s">
        <v>7</v>
      </c>
      <c r="C4" s="7">
        <v>320</v>
      </c>
      <c r="D4" s="7" t="s">
        <v>6</v>
      </c>
      <c r="E4" s="9">
        <v>8.7873563218390807</v>
      </c>
      <c r="F4" s="10">
        <f>C4*E4</f>
        <v>2811.954022988506</v>
      </c>
    </row>
    <row r="5" spans="2:9" ht="18" customHeight="1" x14ac:dyDescent="0.35">
      <c r="B5" s="5" t="s">
        <v>8</v>
      </c>
      <c r="C5" s="7">
        <v>640</v>
      </c>
      <c r="D5" s="7" t="s">
        <v>6</v>
      </c>
      <c r="E5" s="9">
        <v>7.5962643678160919</v>
      </c>
      <c r="F5" s="10">
        <f>C5*E5</f>
        <v>4861.6091954022986</v>
      </c>
    </row>
    <row r="6" spans="2:9" ht="18" customHeight="1" x14ac:dyDescent="0.35">
      <c r="B6" s="5" t="s">
        <v>9</v>
      </c>
      <c r="C6" s="7">
        <v>320</v>
      </c>
      <c r="D6" s="7" t="s">
        <v>6</v>
      </c>
      <c r="E6" s="9">
        <v>6.2485632183908049</v>
      </c>
      <c r="F6" s="10">
        <f>C6*E6</f>
        <v>1999.5402298850577</v>
      </c>
    </row>
    <row r="7" spans="2:9" ht="18" customHeight="1" x14ac:dyDescent="0.35">
      <c r="B7" s="5" t="s">
        <v>10</v>
      </c>
      <c r="C7" s="7">
        <f>SUM(C3:C6)</f>
        <v>1440</v>
      </c>
      <c r="D7" s="7" t="s">
        <v>6</v>
      </c>
      <c r="E7" s="9">
        <f>F7/C7</f>
        <v>7.815301167245833</v>
      </c>
      <c r="F7" s="10">
        <f>SUM(F3:F6)</f>
        <v>11254.033680834</v>
      </c>
    </row>
    <row r="8" spans="2:9" ht="18" customHeight="1" x14ac:dyDescent="0.35">
      <c r="B8" s="11" t="s">
        <v>11</v>
      </c>
      <c r="C8" s="12"/>
      <c r="D8" s="12"/>
      <c r="E8" s="13"/>
      <c r="F8" s="13"/>
    </row>
    <row r="9" spans="2:9" ht="18" customHeight="1" x14ac:dyDescent="0.35">
      <c r="B9" s="5" t="s">
        <v>11</v>
      </c>
      <c r="C9" s="15">
        <v>0.33</v>
      </c>
      <c r="D9" s="15" t="s">
        <v>12</v>
      </c>
      <c r="E9" s="13">
        <v>1725</v>
      </c>
      <c r="F9" s="16">
        <f>C9*E9</f>
        <v>569.25</v>
      </c>
    </row>
    <row r="10" spans="2:9" ht="18" customHeight="1" x14ac:dyDescent="0.35">
      <c r="B10" s="5" t="s">
        <v>13</v>
      </c>
      <c r="C10" s="15"/>
      <c r="D10" s="15"/>
      <c r="E10" s="16"/>
      <c r="F10" s="18">
        <f>SUM(F9:F9)</f>
        <v>569.25</v>
      </c>
    </row>
    <row r="11" spans="2:9" ht="18" customHeight="1" x14ac:dyDescent="0.35">
      <c r="B11" s="19" t="s">
        <v>14</v>
      </c>
      <c r="C11" s="20"/>
      <c r="D11" s="20"/>
      <c r="E11" s="21"/>
      <c r="F11" s="21"/>
      <c r="G11" s="23"/>
    </row>
    <row r="12" spans="2:9" ht="18" customHeight="1" x14ac:dyDescent="0.35">
      <c r="B12" s="24" t="s">
        <v>15</v>
      </c>
      <c r="C12" s="25">
        <v>50</v>
      </c>
      <c r="D12" s="26" t="s">
        <v>16</v>
      </c>
      <c r="E12" s="27">
        <v>0.5</v>
      </c>
      <c r="F12" s="21">
        <f>C12*E12</f>
        <v>25</v>
      </c>
      <c r="G12" s="23"/>
    </row>
    <row r="13" spans="2:9" ht="18" customHeight="1" x14ac:dyDescent="0.35">
      <c r="B13" s="24" t="s">
        <v>17</v>
      </c>
      <c r="C13" s="25">
        <v>115</v>
      </c>
      <c r="D13" s="26" t="s">
        <v>16</v>
      </c>
      <c r="E13" s="27">
        <v>0.56999999999999995</v>
      </c>
      <c r="F13" s="21">
        <f>C13*E13</f>
        <v>65.55</v>
      </c>
      <c r="G13" s="23"/>
    </row>
    <row r="14" spans="2:9" ht="18" customHeight="1" x14ac:dyDescent="0.35">
      <c r="B14" s="24" t="s">
        <v>18</v>
      </c>
      <c r="C14" s="25">
        <v>1</v>
      </c>
      <c r="D14" s="26" t="s">
        <v>19</v>
      </c>
      <c r="E14" s="13">
        <v>25</v>
      </c>
      <c r="F14" s="21">
        <f>C14*E14</f>
        <v>25</v>
      </c>
      <c r="G14" s="28"/>
    </row>
    <row r="15" spans="2:9" ht="18" customHeight="1" x14ac:dyDescent="0.35">
      <c r="B15" s="24" t="s">
        <v>129</v>
      </c>
      <c r="C15" s="25">
        <v>100</v>
      </c>
      <c r="D15" s="26" t="s">
        <v>16</v>
      </c>
      <c r="E15" s="13">
        <v>0.4</v>
      </c>
      <c r="F15" s="21">
        <f>C15*E15</f>
        <v>40</v>
      </c>
      <c r="G15" s="28"/>
    </row>
    <row r="16" spans="2:9" ht="18" customHeight="1" x14ac:dyDescent="0.35">
      <c r="B16" s="24" t="s">
        <v>20</v>
      </c>
      <c r="C16" s="25">
        <v>100</v>
      </c>
      <c r="D16" s="26" t="s">
        <v>16</v>
      </c>
      <c r="E16" s="27">
        <v>0.5</v>
      </c>
      <c r="F16" s="21">
        <f>C16*E16</f>
        <v>50</v>
      </c>
      <c r="G16" s="28"/>
    </row>
    <row r="17" spans="1:7" ht="18" customHeight="1" x14ac:dyDescent="0.35">
      <c r="B17" s="29"/>
      <c r="C17" s="25"/>
      <c r="D17" s="29"/>
      <c r="E17" s="27"/>
      <c r="F17" s="30">
        <f>SUM(F12:F16)</f>
        <v>205.55</v>
      </c>
      <c r="G17" s="28"/>
    </row>
    <row r="18" spans="1:7" s="8" customFormat="1" ht="18" customHeight="1" x14ac:dyDescent="0.35">
      <c r="B18" s="19" t="s">
        <v>21</v>
      </c>
      <c r="C18" s="20"/>
      <c r="D18" s="20"/>
      <c r="E18" s="21"/>
      <c r="F18" s="21"/>
      <c r="G18" s="28"/>
    </row>
    <row r="19" spans="1:7" s="8" customFormat="1" ht="18" customHeight="1" x14ac:dyDescent="0.35">
      <c r="A19" s="31"/>
      <c r="B19" s="24" t="s">
        <v>22</v>
      </c>
      <c r="C19" s="32">
        <v>4</v>
      </c>
      <c r="D19" s="26" t="s">
        <v>23</v>
      </c>
      <c r="E19" s="27">
        <v>75</v>
      </c>
      <c r="F19" s="21">
        <f t="shared" ref="F19:F36" si="0">C19*E19</f>
        <v>300</v>
      </c>
      <c r="G19" s="28"/>
    </row>
    <row r="20" spans="1:7" s="8" customFormat="1" ht="18" customHeight="1" x14ac:dyDescent="0.35">
      <c r="A20" s="31"/>
      <c r="B20" s="33" t="s">
        <v>24</v>
      </c>
      <c r="C20" s="34">
        <v>16</v>
      </c>
      <c r="D20" s="35" t="s">
        <v>25</v>
      </c>
      <c r="E20" s="36">
        <v>0.2</v>
      </c>
      <c r="F20" s="21">
        <f t="shared" si="0"/>
        <v>3.2</v>
      </c>
      <c r="G20" s="28"/>
    </row>
    <row r="21" spans="1:7" s="8" customFormat="1" ht="18" customHeight="1" x14ac:dyDescent="0.35">
      <c r="A21" s="31"/>
      <c r="B21" s="33" t="s">
        <v>26</v>
      </c>
      <c r="C21" s="25">
        <v>2.5</v>
      </c>
      <c r="D21" s="35" t="s">
        <v>27</v>
      </c>
      <c r="E21" s="36">
        <v>6.25</v>
      </c>
      <c r="F21" s="21">
        <f t="shared" si="0"/>
        <v>15.625</v>
      </c>
      <c r="G21" s="28"/>
    </row>
    <row r="22" spans="1:7" s="8" customFormat="1" ht="18" customHeight="1" x14ac:dyDescent="0.35">
      <c r="A22" s="31"/>
      <c r="B22" s="33" t="s">
        <v>28</v>
      </c>
      <c r="C22" s="34">
        <v>1</v>
      </c>
      <c r="D22" s="35" t="s">
        <v>27</v>
      </c>
      <c r="E22" s="36">
        <v>16.25</v>
      </c>
      <c r="F22" s="21">
        <f t="shared" si="0"/>
        <v>16.25</v>
      </c>
      <c r="G22" s="28"/>
    </row>
    <row r="23" spans="1:7" s="8" customFormat="1" ht="18" customHeight="1" x14ac:dyDescent="0.35">
      <c r="A23" s="31"/>
      <c r="B23" s="33" t="s">
        <v>29</v>
      </c>
      <c r="C23" s="25">
        <v>1</v>
      </c>
      <c r="D23" s="35" t="s">
        <v>27</v>
      </c>
      <c r="E23" s="36">
        <v>12.5</v>
      </c>
      <c r="F23" s="21">
        <f t="shared" si="0"/>
        <v>12.5</v>
      </c>
      <c r="G23" s="28"/>
    </row>
    <row r="24" spans="1:7" s="8" customFormat="1" ht="18" customHeight="1" x14ac:dyDescent="0.35">
      <c r="A24" s="31"/>
      <c r="B24" s="37" t="s">
        <v>30</v>
      </c>
      <c r="C24" s="34">
        <v>21</v>
      </c>
      <c r="D24" s="35" t="s">
        <v>31</v>
      </c>
      <c r="E24" s="36">
        <v>1.21</v>
      </c>
      <c r="F24" s="21">
        <f t="shared" si="0"/>
        <v>25.41</v>
      </c>
      <c r="G24" s="28"/>
    </row>
    <row r="25" spans="1:7" s="8" customFormat="1" ht="18" customHeight="1" x14ac:dyDescent="0.35">
      <c r="A25" s="31"/>
      <c r="B25" s="33" t="s">
        <v>32</v>
      </c>
      <c r="C25" s="34">
        <v>10</v>
      </c>
      <c r="D25" s="35" t="s">
        <v>27</v>
      </c>
      <c r="E25" s="36">
        <v>2</v>
      </c>
      <c r="F25" s="21">
        <f t="shared" si="0"/>
        <v>20</v>
      </c>
      <c r="G25" s="28"/>
    </row>
    <row r="26" spans="1:7" s="8" customFormat="1" ht="18" customHeight="1" x14ac:dyDescent="0.35">
      <c r="B26" s="33" t="s">
        <v>33</v>
      </c>
      <c r="C26" s="25">
        <v>16</v>
      </c>
      <c r="D26" s="35" t="s">
        <v>25</v>
      </c>
      <c r="E26" s="36">
        <v>6.6</v>
      </c>
      <c r="F26" s="21">
        <f t="shared" si="0"/>
        <v>105.6</v>
      </c>
      <c r="G26" s="28"/>
    </row>
    <row r="27" spans="1:7" s="8" customFormat="1" ht="18" customHeight="1" x14ac:dyDescent="0.35">
      <c r="B27" s="33" t="s">
        <v>34</v>
      </c>
      <c r="C27" s="25">
        <v>6</v>
      </c>
      <c r="D27" s="35" t="s">
        <v>27</v>
      </c>
      <c r="E27" s="36">
        <v>10.75</v>
      </c>
      <c r="F27" s="21">
        <f t="shared" si="0"/>
        <v>64.5</v>
      </c>
      <c r="G27" s="28"/>
    </row>
    <row r="28" spans="1:7" s="8" customFormat="1" ht="18" customHeight="1" x14ac:dyDescent="0.35">
      <c r="B28" s="33" t="s">
        <v>35</v>
      </c>
      <c r="C28" s="25">
        <v>10</v>
      </c>
      <c r="D28" s="35" t="s">
        <v>25</v>
      </c>
      <c r="E28" s="36">
        <v>10.93</v>
      </c>
      <c r="F28" s="21">
        <f t="shared" si="0"/>
        <v>109.3</v>
      </c>
      <c r="G28" s="28"/>
    </row>
    <row r="29" spans="1:7" s="8" customFormat="1" ht="18" customHeight="1" x14ac:dyDescent="0.35">
      <c r="B29" s="33" t="s">
        <v>36</v>
      </c>
      <c r="C29" s="25">
        <v>16</v>
      </c>
      <c r="D29" s="35" t="s">
        <v>25</v>
      </c>
      <c r="E29" s="36">
        <v>1.67</v>
      </c>
      <c r="F29" s="21">
        <f t="shared" si="0"/>
        <v>26.72</v>
      </c>
      <c r="G29" s="28"/>
    </row>
    <row r="30" spans="1:7" s="8" customFormat="1" ht="18" customHeight="1" x14ac:dyDescent="0.35">
      <c r="B30" s="33" t="s">
        <v>37</v>
      </c>
      <c r="C30" s="25">
        <v>1</v>
      </c>
      <c r="D30" s="35" t="s">
        <v>38</v>
      </c>
      <c r="E30" s="36">
        <v>13.75</v>
      </c>
      <c r="F30" s="21">
        <f t="shared" si="0"/>
        <v>13.75</v>
      </c>
      <c r="G30" s="28"/>
    </row>
    <row r="31" spans="1:7" s="8" customFormat="1" ht="18" customHeight="1" x14ac:dyDescent="0.35">
      <c r="B31" s="37" t="s">
        <v>39</v>
      </c>
      <c r="C31" s="39">
        <v>3</v>
      </c>
      <c r="D31" s="40" t="s">
        <v>40</v>
      </c>
      <c r="E31" s="36">
        <v>8</v>
      </c>
      <c r="F31" s="21">
        <f t="shared" si="0"/>
        <v>24</v>
      </c>
      <c r="G31" s="28"/>
    </row>
    <row r="32" spans="1:7" s="8" customFormat="1" ht="18" customHeight="1" x14ac:dyDescent="0.35">
      <c r="B32" s="33" t="s">
        <v>41</v>
      </c>
      <c r="C32" s="25">
        <v>2.4</v>
      </c>
      <c r="D32" s="35" t="s">
        <v>42</v>
      </c>
      <c r="E32" s="36">
        <v>10.5</v>
      </c>
      <c r="F32" s="21">
        <f t="shared" si="0"/>
        <v>25.2</v>
      </c>
      <c r="G32" s="28"/>
    </row>
    <row r="33" spans="2:7" s="8" customFormat="1" ht="18" customHeight="1" x14ac:dyDescent="0.35">
      <c r="B33" s="33" t="s">
        <v>43</v>
      </c>
      <c r="C33" s="25">
        <v>15</v>
      </c>
      <c r="D33" s="35" t="s">
        <v>25</v>
      </c>
      <c r="E33" s="36">
        <v>1.64</v>
      </c>
      <c r="F33" s="21">
        <f t="shared" si="0"/>
        <v>24.599999999999998</v>
      </c>
      <c r="G33" s="28"/>
    </row>
    <row r="34" spans="2:7" s="8" customFormat="1" ht="18" customHeight="1" x14ac:dyDescent="0.35">
      <c r="B34" s="33" t="s">
        <v>44</v>
      </c>
      <c r="C34" s="25">
        <v>16</v>
      </c>
      <c r="D34" s="35" t="s">
        <v>25</v>
      </c>
      <c r="E34" s="36">
        <v>3.55</v>
      </c>
      <c r="F34" s="21">
        <f t="shared" si="0"/>
        <v>56.8</v>
      </c>
      <c r="G34" s="28"/>
    </row>
    <row r="35" spans="2:7" s="8" customFormat="1" ht="18" customHeight="1" x14ac:dyDescent="0.35">
      <c r="B35" s="41" t="s">
        <v>45</v>
      </c>
      <c r="C35" s="42">
        <v>1</v>
      </c>
      <c r="D35" s="43" t="s">
        <v>46</v>
      </c>
      <c r="E35" s="44">
        <v>40</v>
      </c>
      <c r="F35" s="45">
        <f t="shared" si="0"/>
        <v>40</v>
      </c>
      <c r="G35" s="28"/>
    </row>
    <row r="36" spans="2:7" s="8" customFormat="1" ht="18" customHeight="1" x14ac:dyDescent="0.35">
      <c r="B36" s="33" t="s">
        <v>47</v>
      </c>
      <c r="C36" s="25">
        <v>1.33</v>
      </c>
      <c r="D36" s="35" t="s">
        <v>46</v>
      </c>
      <c r="E36" s="36">
        <v>25</v>
      </c>
      <c r="F36" s="21">
        <f t="shared" si="0"/>
        <v>33.25</v>
      </c>
      <c r="G36" s="28"/>
    </row>
    <row r="37" spans="2:7" s="8" customFormat="1" ht="18" customHeight="1" x14ac:dyDescent="0.35">
      <c r="B37" s="46"/>
      <c r="C37" s="47"/>
      <c r="D37" s="47"/>
      <c r="E37" s="27"/>
      <c r="F37" s="48">
        <f>SUM(F19:F36)</f>
        <v>916.70500000000004</v>
      </c>
      <c r="G37" s="28"/>
    </row>
    <row r="38" spans="2:7" s="8" customFormat="1" ht="18" customHeight="1" x14ac:dyDescent="0.35">
      <c r="B38" s="49" t="s">
        <v>48</v>
      </c>
      <c r="C38" s="20"/>
      <c r="D38" s="20"/>
      <c r="E38" s="21"/>
      <c r="F38" s="21"/>
      <c r="G38" s="28"/>
    </row>
    <row r="39" spans="2:7" s="8" customFormat="1" ht="18" customHeight="1" x14ac:dyDescent="0.35">
      <c r="B39" s="41" t="s">
        <v>49</v>
      </c>
      <c r="C39" s="42">
        <v>2</v>
      </c>
      <c r="D39" s="50" t="s">
        <v>19</v>
      </c>
      <c r="E39" s="44">
        <v>10</v>
      </c>
      <c r="F39" s="51">
        <f>C39*E39</f>
        <v>20</v>
      </c>
      <c r="G39" s="28"/>
    </row>
    <row r="40" spans="2:7" s="8" customFormat="1" ht="18" customHeight="1" x14ac:dyDescent="0.35">
      <c r="B40" s="33" t="s">
        <v>50</v>
      </c>
      <c r="C40" s="25">
        <v>1</v>
      </c>
      <c r="D40" s="52" t="s">
        <v>19</v>
      </c>
      <c r="E40" s="36">
        <v>42.5</v>
      </c>
      <c r="F40" s="53">
        <f>C40*E40</f>
        <v>42.5</v>
      </c>
      <c r="G40" s="54"/>
    </row>
    <row r="41" spans="2:7" s="8" customFormat="1" ht="18" customHeight="1" x14ac:dyDescent="0.35">
      <c r="B41" s="33" t="s">
        <v>51</v>
      </c>
      <c r="C41" s="25">
        <v>3</v>
      </c>
      <c r="D41" s="52" t="s">
        <v>19</v>
      </c>
      <c r="E41" s="36">
        <v>125</v>
      </c>
      <c r="F41" s="53">
        <f>C41*E41</f>
        <v>375</v>
      </c>
      <c r="G41" s="54"/>
    </row>
    <row r="42" spans="2:7" s="8" customFormat="1" ht="18" customHeight="1" x14ac:dyDescent="0.35">
      <c r="B42" s="33" t="s">
        <v>52</v>
      </c>
      <c r="C42" s="25">
        <v>1</v>
      </c>
      <c r="D42" s="52" t="s">
        <v>19</v>
      </c>
      <c r="E42" s="36">
        <v>5</v>
      </c>
      <c r="F42" s="53">
        <f>C42*E42</f>
        <v>5</v>
      </c>
      <c r="G42" s="54"/>
    </row>
    <row r="43" spans="2:7" s="8" customFormat="1" ht="18" customHeight="1" x14ac:dyDescent="0.35">
      <c r="B43" s="55"/>
      <c r="C43" s="46"/>
      <c r="D43" s="46"/>
      <c r="E43" s="27"/>
      <c r="F43" s="48">
        <f>SUM(F39:F42)</f>
        <v>442.5</v>
      </c>
      <c r="G43" s="28"/>
    </row>
    <row r="44" spans="2:7" s="8" customFormat="1" ht="18" customHeight="1" x14ac:dyDescent="0.35">
      <c r="B44" s="11" t="s">
        <v>53</v>
      </c>
      <c r="C44" s="15"/>
      <c r="D44" s="15"/>
      <c r="E44" s="16"/>
      <c r="F44" s="16"/>
      <c r="G44" s="28"/>
    </row>
    <row r="45" spans="2:7" s="8" customFormat="1" ht="18" customHeight="1" x14ac:dyDescent="0.35">
      <c r="B45" s="5" t="s">
        <v>55</v>
      </c>
      <c r="C45" s="15">
        <v>20.010000000000002</v>
      </c>
      <c r="D45" s="15" t="s">
        <v>46</v>
      </c>
      <c r="E45" s="16">
        <v>1.95</v>
      </c>
      <c r="F45" s="16">
        <f t="shared" ref="F45:F49" si="1">C45*E45</f>
        <v>39.019500000000001</v>
      </c>
    </row>
    <row r="46" spans="2:7" s="8" customFormat="1" ht="18" customHeight="1" x14ac:dyDescent="0.35">
      <c r="B46" s="5" t="s">
        <v>56</v>
      </c>
      <c r="C46" s="15">
        <v>1</v>
      </c>
      <c r="D46" s="15" t="s">
        <v>57</v>
      </c>
      <c r="E46" s="16">
        <v>5</v>
      </c>
      <c r="F46" s="16">
        <f t="shared" si="1"/>
        <v>5</v>
      </c>
      <c r="G46"/>
    </row>
    <row r="47" spans="2:7" s="8" customFormat="1" ht="18" customHeight="1" x14ac:dyDescent="0.35">
      <c r="B47" s="5" t="s">
        <v>58</v>
      </c>
      <c r="C47" s="15">
        <v>1</v>
      </c>
      <c r="D47" s="15" t="s">
        <v>54</v>
      </c>
      <c r="E47" s="16">
        <v>250</v>
      </c>
      <c r="F47" s="16">
        <f t="shared" si="1"/>
        <v>250</v>
      </c>
      <c r="G47"/>
    </row>
    <row r="48" spans="2:7" s="8" customFormat="1" ht="18" customHeight="1" x14ac:dyDescent="0.35">
      <c r="B48" s="5" t="s">
        <v>59</v>
      </c>
      <c r="C48" s="15">
        <v>8</v>
      </c>
      <c r="D48" s="15" t="s">
        <v>60</v>
      </c>
      <c r="E48" s="16">
        <v>17.100000000000001</v>
      </c>
      <c r="F48" s="16">
        <f t="shared" si="1"/>
        <v>136.80000000000001</v>
      </c>
      <c r="G48"/>
    </row>
    <row r="49" spans="2:7" ht="18" customHeight="1" x14ac:dyDescent="0.35">
      <c r="B49" s="5" t="s">
        <v>61</v>
      </c>
      <c r="C49" s="15">
        <v>1</v>
      </c>
      <c r="D49" s="15" t="s">
        <v>57</v>
      </c>
      <c r="E49" s="16">
        <v>10</v>
      </c>
      <c r="F49" s="16">
        <f t="shared" si="1"/>
        <v>10</v>
      </c>
      <c r="G49"/>
    </row>
    <row r="50" spans="2:7" ht="18" customHeight="1" x14ac:dyDescent="0.35">
      <c r="B50" s="5" t="s">
        <v>62</v>
      </c>
      <c r="C50" s="15"/>
      <c r="D50" s="15"/>
      <c r="E50" s="16"/>
      <c r="F50" s="56">
        <f>SUMIF(F45:F49,"&gt;0",F45:F49)</f>
        <v>440.81950000000001</v>
      </c>
    </row>
    <row r="51" spans="2:7" ht="18" customHeight="1" x14ac:dyDescent="0.35">
      <c r="B51" s="11" t="s">
        <v>63</v>
      </c>
      <c r="C51" s="15"/>
      <c r="D51" s="15"/>
      <c r="E51" s="16"/>
      <c r="F51" s="10"/>
    </row>
    <row r="52" spans="2:7" ht="18" customHeight="1" x14ac:dyDescent="0.35">
      <c r="B52" s="5" t="s">
        <v>64</v>
      </c>
      <c r="C52" s="15">
        <v>43.38</v>
      </c>
      <c r="D52" s="15" t="s">
        <v>46</v>
      </c>
      <c r="E52" s="16">
        <v>1.95</v>
      </c>
      <c r="F52" s="16">
        <f>C52*E52</f>
        <v>84.591000000000008</v>
      </c>
    </row>
    <row r="53" spans="2:7" ht="18" customHeight="1" x14ac:dyDescent="0.35">
      <c r="B53" s="5" t="s">
        <v>65</v>
      </c>
      <c r="C53" s="15">
        <v>2</v>
      </c>
      <c r="D53" s="15" t="s">
        <v>46</v>
      </c>
      <c r="E53" s="16">
        <v>2.6</v>
      </c>
      <c r="F53" s="16">
        <f>C53*E53</f>
        <v>5.2</v>
      </c>
    </row>
    <row r="54" spans="2:7" ht="18" customHeight="1" x14ac:dyDescent="0.35">
      <c r="B54" s="5" t="s">
        <v>66</v>
      </c>
      <c r="C54" s="15">
        <v>3</v>
      </c>
      <c r="D54" s="15" t="s">
        <v>46</v>
      </c>
      <c r="E54" s="16">
        <v>3</v>
      </c>
      <c r="F54" s="16">
        <f>C54*E54</f>
        <v>9</v>
      </c>
    </row>
    <row r="55" spans="2:7" ht="18" customHeight="1" x14ac:dyDescent="0.35">
      <c r="B55" s="5" t="s">
        <v>67</v>
      </c>
      <c r="C55" s="15">
        <v>1</v>
      </c>
      <c r="D55" s="15" t="s">
        <v>19</v>
      </c>
      <c r="E55" s="16">
        <v>81.710588360000003</v>
      </c>
      <c r="F55" s="16">
        <f>C55*E55</f>
        <v>81.710588360000003</v>
      </c>
    </row>
    <row r="56" spans="2:7" ht="18" customHeight="1" x14ac:dyDescent="0.35">
      <c r="B56" s="5" t="s">
        <v>68</v>
      </c>
      <c r="C56" s="15"/>
      <c r="D56" s="15"/>
      <c r="E56" s="16"/>
      <c r="F56" s="16">
        <f>0.15*(+F54+F53+F52)</f>
        <v>14.818650000000002</v>
      </c>
    </row>
    <row r="57" spans="2:7" ht="18" customHeight="1" x14ac:dyDescent="0.35">
      <c r="B57" s="5" t="s">
        <v>69</v>
      </c>
      <c r="C57" s="15">
        <v>150</v>
      </c>
      <c r="D57" s="15" t="s">
        <v>46</v>
      </c>
      <c r="E57" s="16">
        <v>1.95</v>
      </c>
      <c r="F57" s="16">
        <f>C57*E57</f>
        <v>292.5</v>
      </c>
    </row>
    <row r="58" spans="2:7" ht="18" customHeight="1" x14ac:dyDescent="0.35">
      <c r="B58" s="5" t="s">
        <v>70</v>
      </c>
      <c r="C58" s="15"/>
      <c r="D58" s="15"/>
      <c r="E58" s="16"/>
      <c r="F58" s="56">
        <f>F52+F53+F54+F55+F56+F57</f>
        <v>487.82023836000002</v>
      </c>
    </row>
    <row r="59" spans="2:7" ht="18" customHeight="1" x14ac:dyDescent="0.35">
      <c r="B59" s="11" t="s">
        <v>71</v>
      </c>
      <c r="C59" s="15"/>
      <c r="D59" s="15"/>
      <c r="E59" s="16"/>
      <c r="F59" s="16"/>
    </row>
    <row r="60" spans="2:7" ht="18" customHeight="1" x14ac:dyDescent="0.35">
      <c r="B60" s="5" t="s">
        <v>72</v>
      </c>
      <c r="C60" s="15">
        <v>5.79</v>
      </c>
      <c r="D60" s="15" t="s">
        <v>60</v>
      </c>
      <c r="E60" s="16">
        <v>19.41375</v>
      </c>
      <c r="F60" s="16">
        <f>C60*E60</f>
        <v>112.4056125</v>
      </c>
    </row>
    <row r="61" spans="2:7" ht="18" customHeight="1" x14ac:dyDescent="0.35">
      <c r="B61" s="5" t="s">
        <v>73</v>
      </c>
      <c r="C61" s="15">
        <v>1.5</v>
      </c>
      <c r="D61" s="15" t="s">
        <v>60</v>
      </c>
      <c r="E61" s="57">
        <v>16.134999999999998</v>
      </c>
      <c r="F61" s="16">
        <f>C61*E61</f>
        <v>24.202499999999997</v>
      </c>
    </row>
    <row r="62" spans="2:7" ht="18" customHeight="1" x14ac:dyDescent="0.35">
      <c r="B62" s="5" t="s">
        <v>74</v>
      </c>
      <c r="C62" s="12">
        <f>2.5</f>
        <v>2.5</v>
      </c>
      <c r="D62" s="15" t="s">
        <v>60</v>
      </c>
      <c r="E62" s="16">
        <v>12.6775</v>
      </c>
      <c r="F62" s="16">
        <f>C62*E62</f>
        <v>31.693750000000001</v>
      </c>
    </row>
    <row r="63" spans="2:7" ht="18" customHeight="1" x14ac:dyDescent="0.35">
      <c r="B63" s="5" t="s">
        <v>75</v>
      </c>
      <c r="C63" s="15">
        <v>5</v>
      </c>
      <c r="D63" s="15" t="s">
        <v>60</v>
      </c>
      <c r="E63" s="16">
        <v>17.86375</v>
      </c>
      <c r="F63" s="16">
        <f>E63*C63</f>
        <v>89.318749999999994</v>
      </c>
    </row>
    <row r="64" spans="2:7" ht="18" customHeight="1" x14ac:dyDescent="0.35">
      <c r="B64" s="5" t="s">
        <v>76</v>
      </c>
      <c r="C64" s="15">
        <v>3.5</v>
      </c>
      <c r="D64" s="15" t="s">
        <v>60</v>
      </c>
      <c r="E64" s="16">
        <v>16.134999999999998</v>
      </c>
      <c r="F64" s="16">
        <f>C64*E64</f>
        <v>56.472499999999997</v>
      </c>
      <c r="G64" s="14"/>
    </row>
    <row r="65" spans="2:7" ht="18" customHeight="1" x14ac:dyDescent="0.35">
      <c r="B65" s="5" t="s">
        <v>77</v>
      </c>
      <c r="C65" s="15"/>
      <c r="D65" s="15"/>
      <c r="E65" s="16"/>
      <c r="F65" s="56">
        <f>F60+F61+F62+F63+F64</f>
        <v>314.09311249999996</v>
      </c>
      <c r="G65" s="14"/>
    </row>
    <row r="66" spans="2:7" ht="18" customHeight="1" x14ac:dyDescent="0.35">
      <c r="B66" s="19" t="s">
        <v>78</v>
      </c>
      <c r="C66" s="20"/>
      <c r="D66" s="20"/>
      <c r="E66" s="21"/>
      <c r="F66" s="21"/>
      <c r="G66" s="14"/>
    </row>
    <row r="67" spans="2:7" ht="18" customHeight="1" x14ac:dyDescent="0.35">
      <c r="B67" s="24" t="s">
        <v>79</v>
      </c>
      <c r="C67" s="59">
        <v>1600</v>
      </c>
      <c r="D67" s="59" t="s">
        <v>80</v>
      </c>
      <c r="E67" s="60">
        <v>0.5</v>
      </c>
      <c r="F67" s="21">
        <f>C67*E67</f>
        <v>800</v>
      </c>
      <c r="G67" s="14"/>
    </row>
    <row r="68" spans="2:7" ht="18" customHeight="1" x14ac:dyDescent="0.35">
      <c r="B68" s="24" t="s">
        <v>81</v>
      </c>
      <c r="C68" s="59">
        <v>1440</v>
      </c>
      <c r="D68" s="59" t="s">
        <v>80</v>
      </c>
      <c r="E68" s="60">
        <v>3.5</v>
      </c>
      <c r="F68" s="21">
        <f>C68*E68</f>
        <v>5040</v>
      </c>
      <c r="G68" s="14"/>
    </row>
    <row r="69" spans="2:7" ht="18" customHeight="1" x14ac:dyDescent="0.35">
      <c r="B69" s="24" t="s">
        <v>82</v>
      </c>
      <c r="C69" s="59"/>
      <c r="D69" s="59"/>
      <c r="E69" s="21"/>
      <c r="F69" s="61">
        <f>SUM(F67:F68)</f>
        <v>5840</v>
      </c>
      <c r="G69" s="14"/>
    </row>
    <row r="70" spans="2:7" ht="18" customHeight="1" x14ac:dyDescent="0.35">
      <c r="B70" s="19" t="s">
        <v>83</v>
      </c>
      <c r="C70" s="20"/>
      <c r="D70" s="20"/>
      <c r="E70" s="21"/>
      <c r="F70" s="21"/>
      <c r="G70" s="38"/>
    </row>
    <row r="71" spans="2:7" ht="18" customHeight="1" x14ac:dyDescent="0.35">
      <c r="B71" s="24" t="s">
        <v>84</v>
      </c>
      <c r="C71" s="62">
        <v>1</v>
      </c>
      <c r="D71" s="62" t="s">
        <v>85</v>
      </c>
      <c r="E71" s="60">
        <v>84</v>
      </c>
      <c r="F71" s="21">
        <f>C71*E71</f>
        <v>84</v>
      </c>
      <c r="G71" s="38"/>
    </row>
    <row r="72" spans="2:7" ht="18" customHeight="1" x14ac:dyDescent="0.35">
      <c r="B72" s="24" t="s">
        <v>86</v>
      </c>
      <c r="C72" s="63">
        <v>1440</v>
      </c>
      <c r="D72" s="64" t="s">
        <v>80</v>
      </c>
      <c r="E72" s="65">
        <v>2.5000000000000001E-2</v>
      </c>
      <c r="F72" s="21">
        <f>C72*E72</f>
        <v>36</v>
      </c>
      <c r="G72" s="38"/>
    </row>
    <row r="73" spans="2:7" ht="18" customHeight="1" x14ac:dyDescent="0.35">
      <c r="B73" s="24" t="s">
        <v>87</v>
      </c>
      <c r="C73" s="63">
        <v>1</v>
      </c>
      <c r="D73" s="63" t="s">
        <v>85</v>
      </c>
      <c r="E73" s="60">
        <v>10</v>
      </c>
      <c r="F73" s="21">
        <f>C73*E73</f>
        <v>10</v>
      </c>
      <c r="G73" s="38"/>
    </row>
    <row r="74" spans="2:7" ht="18" customHeight="1" x14ac:dyDescent="0.35">
      <c r="B74" s="5" t="s">
        <v>88</v>
      </c>
      <c r="C74" s="15"/>
      <c r="D74" s="15"/>
      <c r="E74" s="16"/>
      <c r="F74" s="10">
        <f>SUM(F71:F73)</f>
        <v>130</v>
      </c>
      <c r="G74" s="38"/>
    </row>
    <row r="75" spans="2:7" ht="18" customHeight="1" x14ac:dyDescent="0.35">
      <c r="B75" s="5" t="s">
        <v>89</v>
      </c>
      <c r="C75" s="15"/>
      <c r="D75" s="15"/>
      <c r="E75" s="16"/>
      <c r="F75" s="56">
        <f>F10+F37+F43+F50+F58+F65+F69+F74+F17</f>
        <v>9346.7378508599995</v>
      </c>
      <c r="G75" s="38"/>
    </row>
    <row r="76" spans="2:7" s="8" customFormat="1" ht="18" customHeight="1" x14ac:dyDescent="0.35">
      <c r="B76" s="5" t="s">
        <v>90</v>
      </c>
      <c r="C76" s="15"/>
      <c r="D76" s="15"/>
      <c r="E76" s="16"/>
      <c r="F76" s="16">
        <f>0.0625*(F75)/2</f>
        <v>292.08555783937499</v>
      </c>
    </row>
    <row r="77" spans="2:7" s="8" customFormat="1" ht="18" customHeight="1" x14ac:dyDescent="0.35">
      <c r="B77" s="5" t="s">
        <v>91</v>
      </c>
      <c r="C77" s="15"/>
      <c r="D77" s="15"/>
      <c r="E77" s="16"/>
      <c r="F77" s="56">
        <f>F75+F76</f>
        <v>9638.8234086993743</v>
      </c>
    </row>
    <row r="78" spans="2:7" s="8" customFormat="1" ht="18" customHeight="1" x14ac:dyDescent="0.35">
      <c r="B78" s="11" t="s">
        <v>92</v>
      </c>
      <c r="C78" s="15"/>
      <c r="D78" s="15"/>
      <c r="E78" s="16"/>
      <c r="F78" s="16"/>
    </row>
    <row r="79" spans="2:7" s="8" customFormat="1" ht="18" customHeight="1" x14ac:dyDescent="0.35">
      <c r="B79" s="66" t="s">
        <v>93</v>
      </c>
      <c r="C79" s="15"/>
      <c r="D79" s="16"/>
      <c r="E79" s="56">
        <f>576.26</f>
        <v>576.26</v>
      </c>
    </row>
    <row r="80" spans="2:7" s="8" customFormat="1" ht="18" customHeight="1" x14ac:dyDescent="0.35">
      <c r="B80" s="5" t="s">
        <v>94</v>
      </c>
      <c r="C80" s="15">
        <v>1</v>
      </c>
      <c r="D80" s="16">
        <v>367</v>
      </c>
      <c r="E80" s="16">
        <f>C80*D80</f>
        <v>367</v>
      </c>
    </row>
    <row r="81" spans="1:7" s="8" customFormat="1" ht="18" customHeight="1" x14ac:dyDescent="0.35">
      <c r="B81" s="5" t="s">
        <v>95</v>
      </c>
      <c r="C81" s="15"/>
      <c r="D81" s="16"/>
      <c r="E81" s="16">
        <f>222.06</f>
        <v>222.06</v>
      </c>
    </row>
    <row r="82" spans="1:7" s="8" customFormat="1" ht="18" customHeight="1" x14ac:dyDescent="0.35">
      <c r="B82" s="5" t="s">
        <v>96</v>
      </c>
      <c r="C82" s="15"/>
      <c r="D82" s="16"/>
      <c r="E82" s="16">
        <f>0.025*F77</f>
        <v>240.97058521748437</v>
      </c>
      <c r="G82" s="67"/>
    </row>
    <row r="83" spans="1:7" s="8" customFormat="1" ht="18" customHeight="1" x14ac:dyDescent="0.35">
      <c r="B83" s="5" t="s">
        <v>97</v>
      </c>
      <c r="C83" s="15"/>
      <c r="D83" s="16"/>
      <c r="E83" s="18">
        <f>SUM(E79:E82)</f>
        <v>1406.2905852174842</v>
      </c>
    </row>
    <row r="84" spans="1:7" s="8" customFormat="1" ht="18" customHeight="1" x14ac:dyDescent="0.35">
      <c r="B84" s="5" t="s">
        <v>98</v>
      </c>
      <c r="C84" s="15"/>
      <c r="D84" s="16"/>
      <c r="E84" s="56">
        <f>E83+F77</f>
        <v>11045.113993916859</v>
      </c>
    </row>
    <row r="85" spans="1:7" s="8" customFormat="1" ht="18" customHeight="1" x14ac:dyDescent="0.35">
      <c r="B85" s="5" t="s">
        <v>99</v>
      </c>
      <c r="C85" s="68"/>
      <c r="D85" s="57"/>
      <c r="E85" s="57">
        <f>F7-F77</f>
        <v>1615.2102721346255</v>
      </c>
    </row>
    <row r="86" spans="1:7" s="8" customFormat="1" ht="18" customHeight="1" x14ac:dyDescent="0.35">
      <c r="B86" s="5" t="s">
        <v>100</v>
      </c>
      <c r="C86" s="68"/>
      <c r="D86" s="57"/>
      <c r="E86" s="57">
        <f>F7-E84</f>
        <v>208.91968691714101</v>
      </c>
    </row>
    <row r="87" spans="1:7" s="8" customFormat="1" ht="18" customHeight="1" x14ac:dyDescent="0.35">
      <c r="B87" s="69" t="s">
        <v>101</v>
      </c>
      <c r="C87" s="68"/>
      <c r="D87" s="70"/>
      <c r="E87" s="57">
        <f>F77/C7</f>
        <v>6.6936273671523434</v>
      </c>
    </row>
    <row r="88" spans="1:7" s="8" customFormat="1" ht="18" customHeight="1" x14ac:dyDescent="0.35">
      <c r="B88" s="69" t="s">
        <v>102</v>
      </c>
      <c r="C88" s="68"/>
      <c r="D88" s="70"/>
      <c r="E88" s="57">
        <f>E84/C7</f>
        <v>7.670218051331152</v>
      </c>
    </row>
    <row r="89" spans="1:7" s="8" customFormat="1" ht="18" customHeight="1" x14ac:dyDescent="0.35">
      <c r="B89" s="71"/>
      <c r="C89" s="72" t="s">
        <v>103</v>
      </c>
      <c r="D89" s="71"/>
      <c r="E89" s="72" t="s">
        <v>104</v>
      </c>
    </row>
    <row r="90" spans="1:7" s="8" customFormat="1" ht="18" customHeight="1" x14ac:dyDescent="0.35">
      <c r="A90" s="73"/>
      <c r="B90" s="71" t="s">
        <v>2</v>
      </c>
      <c r="C90" s="74">
        <v>0.05</v>
      </c>
      <c r="D90" s="75" t="s">
        <v>105</v>
      </c>
      <c r="E90" s="74">
        <v>0.05</v>
      </c>
    </row>
    <row r="91" spans="1:7" s="8" customFormat="1" ht="18" customHeight="1" x14ac:dyDescent="0.35">
      <c r="A91" s="14"/>
      <c r="B91" s="71" t="s">
        <v>106</v>
      </c>
      <c r="C91" s="76">
        <f>D91*(1-C90)</f>
        <v>1368</v>
      </c>
      <c r="D91" s="76">
        <f>C7</f>
        <v>1440</v>
      </c>
      <c r="E91" s="76">
        <f>D91*(1+E90)</f>
        <v>1512</v>
      </c>
    </row>
    <row r="92" spans="1:7" s="8" customFormat="1" ht="18" customHeight="1" x14ac:dyDescent="0.35">
      <c r="A92" s="77"/>
      <c r="B92" s="71" t="s">
        <v>107</v>
      </c>
      <c r="C92" s="78">
        <f>$F$77/C91</f>
        <v>7.0459235443708881</v>
      </c>
      <c r="D92" s="78">
        <f>$F$77/D91</f>
        <v>6.6936273671523434</v>
      </c>
      <c r="E92" s="78">
        <f>$F$77/E91</f>
        <v>6.3748832068117558</v>
      </c>
    </row>
    <row r="93" spans="1:7" s="8" customFormat="1" ht="18" customHeight="1" x14ac:dyDescent="0.35">
      <c r="B93" s="71" t="s">
        <v>108</v>
      </c>
      <c r="C93" s="78">
        <f>$E$83/C91</f>
        <v>1.0279901938724301</v>
      </c>
      <c r="D93" s="78">
        <f>$E$83/D91</f>
        <v>0.97659068417880845</v>
      </c>
      <c r="E93" s="78">
        <f>$E$83/E91</f>
        <v>0.93008636588457949</v>
      </c>
    </row>
    <row r="94" spans="1:7" s="8" customFormat="1" ht="18" customHeight="1" x14ac:dyDescent="0.35">
      <c r="A94" s="77"/>
      <c r="B94" s="71" t="s">
        <v>109</v>
      </c>
      <c r="C94" s="78">
        <f>$E$84/C91</f>
        <v>8.0739137382433182</v>
      </c>
      <c r="D94" s="78">
        <f>$E$84/D91</f>
        <v>7.670218051331152</v>
      </c>
      <c r="E94" s="78">
        <f>$E$84/E91</f>
        <v>7.3049695726963355</v>
      </c>
    </row>
    <row r="95" spans="1:7" s="8" customFormat="1" ht="18" customHeight="1" x14ac:dyDescent="0.35">
      <c r="A95" s="77"/>
      <c r="B95" s="71"/>
      <c r="C95" s="71"/>
      <c r="D95" s="75" t="s">
        <v>2</v>
      </c>
      <c r="E95" s="71"/>
    </row>
    <row r="96" spans="1:7" s="8" customFormat="1" ht="18" customHeight="1" x14ac:dyDescent="0.35">
      <c r="A96" s="77"/>
      <c r="B96" s="71" t="s">
        <v>110</v>
      </c>
      <c r="C96" s="79">
        <f>D96*(1-C90)</f>
        <v>7.4245361088835411</v>
      </c>
      <c r="D96" s="79">
        <f>E7</f>
        <v>7.815301167245833</v>
      </c>
      <c r="E96" s="79">
        <f>D96*(1+E90)</f>
        <v>8.2060662256081258</v>
      </c>
    </row>
    <row r="97" spans="1:5" s="8" customFormat="1" ht="18" customHeight="1" x14ac:dyDescent="0.35">
      <c r="A97" s="80"/>
      <c r="B97" s="71" t="s">
        <v>111</v>
      </c>
      <c r="C97" s="76">
        <f>$F$77/C96</f>
        <v>1298.2391448223161</v>
      </c>
      <c r="D97" s="76">
        <f>$F$77/D96</f>
        <v>1233.3271875812002</v>
      </c>
      <c r="E97" s="76">
        <f>$F$77/E96</f>
        <v>1174.5973215059048</v>
      </c>
    </row>
    <row r="98" spans="1:5" s="8" customFormat="1" ht="18" customHeight="1" x14ac:dyDescent="0.35">
      <c r="A98" s="80"/>
      <c r="B98" s="71" t="s">
        <v>112</v>
      </c>
      <c r="C98" s="76">
        <f>$E$83/C96</f>
        <v>189.41123924696677</v>
      </c>
      <c r="D98" s="76">
        <f>$E$83/D96</f>
        <v>179.94067728461843</v>
      </c>
      <c r="E98" s="76">
        <f>$E$83/E96</f>
        <v>171.37207360439848</v>
      </c>
    </row>
    <row r="99" spans="1:5" s="8" customFormat="1" ht="18" customHeight="1" x14ac:dyDescent="0.35">
      <c r="B99" s="71" t="s">
        <v>109</v>
      </c>
      <c r="C99" s="76">
        <f>$E$84/C96</f>
        <v>1487.6503840692828</v>
      </c>
      <c r="D99" s="76">
        <f>$E$84/D96</f>
        <v>1413.2678648658186</v>
      </c>
      <c r="E99" s="76">
        <f>$E$84/E96</f>
        <v>1345.9693951103034</v>
      </c>
    </row>
    <row r="100" spans="1:5" s="8" customFormat="1" ht="20.85" customHeight="1" x14ac:dyDescent="0.25"/>
    <row r="101" spans="1:5" s="8" customFormat="1" ht="20.85" customHeight="1" x14ac:dyDescent="0.25"/>
  </sheetData>
  <dataValidations count="1"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scale="5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zoomScale="68" zoomScaleNormal="68" workbookViewId="0">
      <selection activeCell="L65" sqref="L65"/>
    </sheetView>
  </sheetViews>
  <sheetFormatPr defaultColWidth="8.85546875" defaultRowHeight="15" x14ac:dyDescent="0.25"/>
  <cols>
    <col min="1" max="1" width="21.85546875" style="8" customWidth="1"/>
    <col min="2" max="2" width="81.140625" style="8" customWidth="1"/>
    <col min="3" max="4" width="18.5703125" style="8" customWidth="1"/>
    <col min="5" max="5" width="21.42578125" style="8" customWidth="1"/>
    <col min="6" max="6" width="23.5703125" style="8" customWidth="1"/>
    <col min="7" max="7" width="17" style="8" customWidth="1"/>
    <col min="8" max="10" width="8.85546875" style="8"/>
  </cols>
  <sheetData>
    <row r="1" spans="1:10" s="4" customFormat="1" ht="17.100000000000001" customHeight="1" x14ac:dyDescent="0.25">
      <c r="B1" s="1"/>
      <c r="C1" s="2" t="s">
        <v>0</v>
      </c>
      <c r="D1" s="2" t="s">
        <v>1</v>
      </c>
      <c r="E1" s="2" t="s">
        <v>2</v>
      </c>
      <c r="F1" s="2" t="s">
        <v>3</v>
      </c>
      <c r="H1" s="3"/>
      <c r="I1" s="3"/>
      <c r="J1" s="3"/>
    </row>
    <row r="2" spans="1:10" ht="18" customHeight="1" x14ac:dyDescent="0.35">
      <c r="B2" s="5" t="s">
        <v>113</v>
      </c>
      <c r="C2" s="7">
        <v>800</v>
      </c>
      <c r="D2" s="7" t="s">
        <v>114</v>
      </c>
      <c r="E2" s="9">
        <v>7.35</v>
      </c>
      <c r="F2" s="10">
        <f>C2*E2</f>
        <v>5880</v>
      </c>
    </row>
    <row r="3" spans="1:10" ht="18" customHeight="1" x14ac:dyDescent="0.35">
      <c r="B3" s="11" t="s">
        <v>11</v>
      </c>
      <c r="C3" s="12"/>
      <c r="D3" s="12"/>
      <c r="E3" s="13"/>
      <c r="F3" s="13"/>
      <c r="G3" s="14"/>
    </row>
    <row r="4" spans="1:10" ht="18" customHeight="1" x14ac:dyDescent="0.35">
      <c r="B4" s="5" t="s">
        <v>11</v>
      </c>
      <c r="C4" s="15">
        <v>0.33</v>
      </c>
      <c r="D4" s="15" t="s">
        <v>12</v>
      </c>
      <c r="E4" s="13">
        <v>1725</v>
      </c>
      <c r="F4" s="16">
        <f>C4*E4</f>
        <v>569.25</v>
      </c>
      <c r="G4" s="17"/>
    </row>
    <row r="5" spans="1:10" ht="18" customHeight="1" x14ac:dyDescent="0.35">
      <c r="B5" s="5" t="s">
        <v>13</v>
      </c>
      <c r="C5" s="15"/>
      <c r="D5" s="15"/>
      <c r="E5" s="16"/>
      <c r="F5" s="81">
        <f>SUM(F4:F4)</f>
        <v>569.25</v>
      </c>
      <c r="G5" s="14"/>
    </row>
    <row r="6" spans="1:10" ht="18" customHeight="1" x14ac:dyDescent="0.35">
      <c r="B6" s="19" t="s">
        <v>14</v>
      </c>
      <c r="C6" s="20"/>
      <c r="D6" s="20"/>
      <c r="E6" s="21"/>
      <c r="F6" s="21"/>
      <c r="G6" s="22"/>
      <c r="H6" s="23"/>
    </row>
    <row r="7" spans="1:10" ht="18" customHeight="1" x14ac:dyDescent="0.35">
      <c r="B7" s="24" t="s">
        <v>15</v>
      </c>
      <c r="C7" s="25">
        <v>50</v>
      </c>
      <c r="D7" s="26" t="s">
        <v>16</v>
      </c>
      <c r="E7" s="27">
        <v>0.5</v>
      </c>
      <c r="F7" s="21">
        <f>C7*E7</f>
        <v>25</v>
      </c>
      <c r="G7" s="22"/>
      <c r="H7" s="23"/>
    </row>
    <row r="8" spans="1:10" ht="18" customHeight="1" x14ac:dyDescent="0.35">
      <c r="B8" s="24" t="s">
        <v>17</v>
      </c>
      <c r="C8" s="25">
        <v>115</v>
      </c>
      <c r="D8" s="26" t="s">
        <v>16</v>
      </c>
      <c r="E8" s="27">
        <v>0.56999999999999995</v>
      </c>
      <c r="F8" s="21">
        <f t="shared" ref="F8:F10" si="0">C8*E8</f>
        <v>65.55</v>
      </c>
      <c r="G8" s="22"/>
      <c r="H8" s="23"/>
    </row>
    <row r="9" spans="1:10" ht="18" customHeight="1" x14ac:dyDescent="0.35">
      <c r="B9" s="24" t="s">
        <v>18</v>
      </c>
      <c r="C9" s="25">
        <v>1</v>
      </c>
      <c r="D9" s="26" t="s">
        <v>19</v>
      </c>
      <c r="E9" s="13">
        <v>25</v>
      </c>
      <c r="F9" s="21">
        <f t="shared" si="0"/>
        <v>25</v>
      </c>
      <c r="G9" s="22"/>
      <c r="H9" s="28"/>
    </row>
    <row r="10" spans="1:10" ht="18" customHeight="1" x14ac:dyDescent="0.35">
      <c r="B10" s="24" t="s">
        <v>129</v>
      </c>
      <c r="C10" s="25">
        <v>100</v>
      </c>
      <c r="D10" s="26" t="s">
        <v>16</v>
      </c>
      <c r="E10" s="13">
        <v>0.4</v>
      </c>
      <c r="F10" s="21">
        <f t="shared" si="0"/>
        <v>40</v>
      </c>
      <c r="G10" s="22"/>
      <c r="H10" s="28"/>
    </row>
    <row r="11" spans="1:10" ht="18" customHeight="1" x14ac:dyDescent="0.35">
      <c r="B11" s="24" t="s">
        <v>20</v>
      </c>
      <c r="C11" s="25">
        <v>100</v>
      </c>
      <c r="D11" s="26" t="s">
        <v>16</v>
      </c>
      <c r="E11" s="27">
        <v>0.5</v>
      </c>
      <c r="F11" s="21">
        <f>C11*E11</f>
        <v>50</v>
      </c>
      <c r="G11" s="22"/>
      <c r="H11" s="28"/>
    </row>
    <row r="12" spans="1:10" ht="18" customHeight="1" x14ac:dyDescent="0.35">
      <c r="B12" s="29"/>
      <c r="C12" s="25"/>
      <c r="D12" s="29"/>
      <c r="E12" s="27"/>
      <c r="F12" s="82">
        <f>SUM(F7:F11)</f>
        <v>205.55</v>
      </c>
      <c r="G12" s="22"/>
      <c r="H12" s="28"/>
    </row>
    <row r="13" spans="1:10" ht="18" customHeight="1" x14ac:dyDescent="0.35">
      <c r="B13" s="19" t="s">
        <v>21</v>
      </c>
      <c r="C13" s="20"/>
      <c r="D13" s="20"/>
      <c r="E13" s="21"/>
      <c r="F13" s="21"/>
      <c r="G13" s="22"/>
      <c r="H13" s="28"/>
    </row>
    <row r="14" spans="1:10" ht="18" customHeight="1" x14ac:dyDescent="0.35">
      <c r="B14" s="24" t="s">
        <v>22</v>
      </c>
      <c r="C14" s="32">
        <v>4</v>
      </c>
      <c r="D14" s="26" t="s">
        <v>23</v>
      </c>
      <c r="E14" s="27">
        <v>75</v>
      </c>
      <c r="F14" s="21">
        <f>C14*E14</f>
        <v>300</v>
      </c>
      <c r="G14" s="22"/>
      <c r="H14" s="28"/>
    </row>
    <row r="15" spans="1:10" ht="18" customHeight="1" x14ac:dyDescent="0.35">
      <c r="A15" s="83"/>
      <c r="B15" s="33" t="s">
        <v>24</v>
      </c>
      <c r="C15" s="34">
        <v>16</v>
      </c>
      <c r="D15" s="35" t="s">
        <v>25</v>
      </c>
      <c r="E15" s="36">
        <v>0.2</v>
      </c>
      <c r="F15" s="21">
        <f>C15*E15</f>
        <v>3.2</v>
      </c>
      <c r="G15" s="22"/>
      <c r="H15" s="54"/>
    </row>
    <row r="16" spans="1:10" ht="18" customHeight="1" x14ac:dyDescent="0.35">
      <c r="A16" s="83"/>
      <c r="B16" s="33" t="s">
        <v>26</v>
      </c>
      <c r="C16" s="25">
        <v>2.5</v>
      </c>
      <c r="D16" s="35" t="s">
        <v>27</v>
      </c>
      <c r="E16" s="36">
        <v>6.25</v>
      </c>
      <c r="F16" s="21">
        <f t="shared" ref="F16:F32" si="1">C16*E16</f>
        <v>15.625</v>
      </c>
      <c r="G16" s="22"/>
      <c r="H16" s="28"/>
    </row>
    <row r="17" spans="1:8" ht="18" customHeight="1" x14ac:dyDescent="0.35">
      <c r="A17" s="31"/>
      <c r="B17" s="33" t="s">
        <v>115</v>
      </c>
      <c r="C17" s="34">
        <v>1.5</v>
      </c>
      <c r="D17" s="35" t="s">
        <v>27</v>
      </c>
      <c r="E17" s="36">
        <v>6.87</v>
      </c>
      <c r="F17" s="21">
        <f>C17*E17</f>
        <v>10.305</v>
      </c>
      <c r="G17" s="22"/>
      <c r="H17" s="28"/>
    </row>
    <row r="18" spans="1:8" ht="18" customHeight="1" x14ac:dyDescent="0.35">
      <c r="A18" s="31"/>
      <c r="B18" s="33" t="s">
        <v>28</v>
      </c>
      <c r="C18" s="34">
        <v>1</v>
      </c>
      <c r="D18" s="35" t="s">
        <v>27</v>
      </c>
      <c r="E18" s="36">
        <v>16.25</v>
      </c>
      <c r="F18" s="21">
        <f t="shared" si="1"/>
        <v>16.25</v>
      </c>
      <c r="G18" s="22"/>
      <c r="H18" s="28"/>
    </row>
    <row r="19" spans="1:8" ht="18" customHeight="1" x14ac:dyDescent="0.35">
      <c r="A19" s="31"/>
      <c r="B19" s="33" t="s">
        <v>116</v>
      </c>
      <c r="C19" s="34">
        <v>5</v>
      </c>
      <c r="D19" s="35" t="s">
        <v>27</v>
      </c>
      <c r="E19" s="36">
        <v>2</v>
      </c>
      <c r="F19" s="21">
        <f t="shared" si="1"/>
        <v>10</v>
      </c>
      <c r="G19" s="22"/>
      <c r="H19" s="28"/>
    </row>
    <row r="20" spans="1:8" ht="18" customHeight="1" x14ac:dyDescent="0.35">
      <c r="A20" s="31"/>
      <c r="B20" s="33" t="s">
        <v>29</v>
      </c>
      <c r="C20" s="25">
        <v>1</v>
      </c>
      <c r="D20" s="35" t="s">
        <v>27</v>
      </c>
      <c r="E20" s="36">
        <v>12.5</v>
      </c>
      <c r="F20" s="21">
        <f t="shared" si="1"/>
        <v>12.5</v>
      </c>
      <c r="G20" s="22"/>
      <c r="H20" s="28"/>
    </row>
    <row r="21" spans="1:8" ht="18" customHeight="1" x14ac:dyDescent="0.35">
      <c r="A21" s="31"/>
      <c r="B21" s="37" t="s">
        <v>117</v>
      </c>
      <c r="C21" s="34">
        <v>0.5</v>
      </c>
      <c r="D21" s="35" t="s">
        <v>27</v>
      </c>
      <c r="E21" s="36">
        <v>10.62</v>
      </c>
      <c r="F21" s="21">
        <f>C21*E21</f>
        <v>5.31</v>
      </c>
      <c r="G21" s="22"/>
      <c r="H21" s="28"/>
    </row>
    <row r="22" spans="1:8" ht="18" customHeight="1" x14ac:dyDescent="0.35">
      <c r="B22" s="33" t="s">
        <v>33</v>
      </c>
      <c r="C22" s="25">
        <v>16</v>
      </c>
      <c r="D22" s="35" t="s">
        <v>25</v>
      </c>
      <c r="E22" s="36">
        <v>6.6</v>
      </c>
      <c r="F22" s="21">
        <f t="shared" si="1"/>
        <v>105.6</v>
      </c>
      <c r="G22" s="22"/>
      <c r="H22" s="28"/>
    </row>
    <row r="23" spans="1:8" ht="18" customHeight="1" x14ac:dyDescent="0.35">
      <c r="B23" s="33" t="s">
        <v>34</v>
      </c>
      <c r="C23" s="25">
        <v>6</v>
      </c>
      <c r="D23" s="35" t="s">
        <v>27</v>
      </c>
      <c r="E23" s="36">
        <v>10.75</v>
      </c>
      <c r="F23" s="21">
        <f t="shared" si="1"/>
        <v>64.5</v>
      </c>
      <c r="G23" s="22"/>
      <c r="H23" s="28"/>
    </row>
    <row r="24" spans="1:8" ht="18" customHeight="1" x14ac:dyDescent="0.35">
      <c r="B24" s="33" t="s">
        <v>35</v>
      </c>
      <c r="C24" s="25">
        <v>10</v>
      </c>
      <c r="D24" s="35" t="s">
        <v>25</v>
      </c>
      <c r="E24" s="36">
        <v>10.93</v>
      </c>
      <c r="F24" s="21">
        <f t="shared" si="1"/>
        <v>109.3</v>
      </c>
      <c r="G24" s="22"/>
      <c r="H24" s="28"/>
    </row>
    <row r="25" spans="1:8" ht="18" customHeight="1" x14ac:dyDescent="0.35">
      <c r="B25" s="33" t="s">
        <v>36</v>
      </c>
      <c r="C25" s="25">
        <v>16</v>
      </c>
      <c r="D25" s="35" t="s">
        <v>25</v>
      </c>
      <c r="E25" s="36">
        <v>1.67</v>
      </c>
      <c r="F25" s="21">
        <f t="shared" si="1"/>
        <v>26.72</v>
      </c>
      <c r="G25" s="22"/>
      <c r="H25" s="28"/>
    </row>
    <row r="26" spans="1:8" ht="18" customHeight="1" x14ac:dyDescent="0.35">
      <c r="B26" s="33" t="s">
        <v>37</v>
      </c>
      <c r="C26" s="25">
        <v>1</v>
      </c>
      <c r="D26" s="35" t="s">
        <v>38</v>
      </c>
      <c r="E26" s="36">
        <v>13.75</v>
      </c>
      <c r="F26" s="21">
        <f t="shared" si="1"/>
        <v>13.75</v>
      </c>
      <c r="G26" s="22"/>
      <c r="H26" s="28"/>
    </row>
    <row r="27" spans="1:8" ht="18" customHeight="1" x14ac:dyDescent="0.35">
      <c r="B27" s="37" t="s">
        <v>39</v>
      </c>
      <c r="C27" s="39">
        <v>3</v>
      </c>
      <c r="D27" s="40" t="s">
        <v>40</v>
      </c>
      <c r="E27" s="36">
        <v>8</v>
      </c>
      <c r="F27" s="21">
        <f t="shared" si="1"/>
        <v>24</v>
      </c>
      <c r="G27" s="22"/>
      <c r="H27" s="28"/>
    </row>
    <row r="28" spans="1:8" ht="18" customHeight="1" x14ac:dyDescent="0.35">
      <c r="B28" s="33" t="s">
        <v>41</v>
      </c>
      <c r="C28" s="25">
        <v>2.4</v>
      </c>
      <c r="D28" s="35" t="s">
        <v>42</v>
      </c>
      <c r="E28" s="36">
        <v>10.5</v>
      </c>
      <c r="F28" s="21">
        <f t="shared" si="1"/>
        <v>25.2</v>
      </c>
      <c r="G28" s="22"/>
      <c r="H28" s="28"/>
    </row>
    <row r="29" spans="1:8" ht="18" customHeight="1" x14ac:dyDescent="0.35">
      <c r="B29" s="33" t="s">
        <v>43</v>
      </c>
      <c r="C29" s="25">
        <v>15</v>
      </c>
      <c r="D29" s="35" t="s">
        <v>25</v>
      </c>
      <c r="E29" s="36">
        <v>1.64</v>
      </c>
      <c r="F29" s="21">
        <f t="shared" si="1"/>
        <v>24.599999999999998</v>
      </c>
      <c r="G29" s="22"/>
      <c r="H29" s="28"/>
    </row>
    <row r="30" spans="1:8" ht="18" customHeight="1" x14ac:dyDescent="0.35">
      <c r="B30" s="33" t="s">
        <v>44</v>
      </c>
      <c r="C30" s="25">
        <v>16</v>
      </c>
      <c r="D30" s="35" t="s">
        <v>25</v>
      </c>
      <c r="E30" s="36">
        <v>3.55</v>
      </c>
      <c r="F30" s="21">
        <f t="shared" si="1"/>
        <v>56.8</v>
      </c>
      <c r="G30" s="22"/>
      <c r="H30" s="28"/>
    </row>
    <row r="31" spans="1:8" ht="18" customHeight="1" x14ac:dyDescent="0.35">
      <c r="B31" s="41" t="s">
        <v>45</v>
      </c>
      <c r="C31" s="42">
        <v>1</v>
      </c>
      <c r="D31" s="43" t="s">
        <v>46</v>
      </c>
      <c r="E31" s="44">
        <v>40</v>
      </c>
      <c r="F31" s="45">
        <f t="shared" si="1"/>
        <v>40</v>
      </c>
      <c r="G31" s="22"/>
      <c r="H31" s="28"/>
    </row>
    <row r="32" spans="1:8" ht="18" customHeight="1" x14ac:dyDescent="0.35">
      <c r="B32" s="33" t="s">
        <v>47</v>
      </c>
      <c r="C32" s="25">
        <v>1.33</v>
      </c>
      <c r="D32" s="35" t="s">
        <v>46</v>
      </c>
      <c r="E32" s="36">
        <v>25</v>
      </c>
      <c r="F32" s="21">
        <f t="shared" si="1"/>
        <v>33.25</v>
      </c>
      <c r="G32" s="38"/>
      <c r="H32" s="28"/>
    </row>
    <row r="33" spans="2:8" ht="18" customHeight="1" x14ac:dyDescent="0.35">
      <c r="B33" s="46"/>
      <c r="C33" s="47"/>
      <c r="D33" s="47"/>
      <c r="E33" s="27"/>
      <c r="F33" s="48">
        <f>SUM(F14:F32)</f>
        <v>896.91</v>
      </c>
      <c r="G33" s="22"/>
      <c r="H33" s="28"/>
    </row>
    <row r="34" spans="2:8" ht="18" customHeight="1" x14ac:dyDescent="0.35">
      <c r="B34" s="19" t="s">
        <v>48</v>
      </c>
      <c r="C34" s="20"/>
      <c r="D34" s="20"/>
      <c r="E34" s="21"/>
      <c r="F34" s="21"/>
      <c r="G34" s="22"/>
      <c r="H34" s="28"/>
    </row>
    <row r="35" spans="2:8" ht="18" customHeight="1" x14ac:dyDescent="0.35">
      <c r="B35" s="41" t="s">
        <v>49</v>
      </c>
      <c r="C35" s="42">
        <v>2</v>
      </c>
      <c r="D35" s="50" t="s">
        <v>19</v>
      </c>
      <c r="E35" s="44">
        <v>10</v>
      </c>
      <c r="F35" s="51">
        <f>C35*E35</f>
        <v>20</v>
      </c>
      <c r="G35" s="22"/>
      <c r="H35" s="28"/>
    </row>
    <row r="36" spans="2:8" ht="18" customHeight="1" x14ac:dyDescent="0.35">
      <c r="B36" s="33" t="s">
        <v>118</v>
      </c>
      <c r="C36" s="25">
        <v>1</v>
      </c>
      <c r="D36" s="52" t="s">
        <v>19</v>
      </c>
      <c r="E36" s="36">
        <v>42.5</v>
      </c>
      <c r="F36" s="53">
        <f>C36*E36</f>
        <v>42.5</v>
      </c>
      <c r="G36" s="22"/>
      <c r="H36" s="54"/>
    </row>
    <row r="37" spans="2:8" ht="18" customHeight="1" x14ac:dyDescent="0.35">
      <c r="B37" s="33" t="s">
        <v>51</v>
      </c>
      <c r="C37" s="25">
        <v>3</v>
      </c>
      <c r="D37" s="52" t="s">
        <v>19</v>
      </c>
      <c r="E37" s="36">
        <v>125</v>
      </c>
      <c r="F37" s="53">
        <f t="shared" ref="F37:F38" si="2">C37*E37</f>
        <v>375</v>
      </c>
      <c r="G37" s="22"/>
      <c r="H37" s="54"/>
    </row>
    <row r="38" spans="2:8" ht="18" customHeight="1" x14ac:dyDescent="0.35">
      <c r="B38" s="33" t="s">
        <v>52</v>
      </c>
      <c r="C38" s="25">
        <v>1</v>
      </c>
      <c r="D38" s="52" t="s">
        <v>19</v>
      </c>
      <c r="E38" s="36">
        <v>5</v>
      </c>
      <c r="F38" s="53">
        <f t="shared" si="2"/>
        <v>5</v>
      </c>
      <c r="G38" s="22"/>
      <c r="H38" s="54"/>
    </row>
    <row r="39" spans="2:8" ht="18" customHeight="1" x14ac:dyDescent="0.35">
      <c r="B39" s="55"/>
      <c r="C39" s="46"/>
      <c r="D39" s="46"/>
      <c r="E39" s="27"/>
      <c r="F39" s="48">
        <f>SUM(F35:F38)</f>
        <v>442.5</v>
      </c>
      <c r="G39" s="22"/>
      <c r="H39" s="28"/>
    </row>
    <row r="40" spans="2:8" ht="18" customHeight="1" x14ac:dyDescent="0.35">
      <c r="B40" s="11" t="s">
        <v>53</v>
      </c>
      <c r="C40" s="15"/>
      <c r="D40" s="15"/>
      <c r="E40" s="16"/>
      <c r="F40" s="16"/>
      <c r="G40" s="22"/>
      <c r="H40" s="28"/>
    </row>
    <row r="41" spans="2:8" ht="18" customHeight="1" x14ac:dyDescent="0.35">
      <c r="B41" s="5" t="s">
        <v>55</v>
      </c>
      <c r="C41" s="15">
        <v>20.010000000000002</v>
      </c>
      <c r="D41" s="15" t="s">
        <v>46</v>
      </c>
      <c r="E41" s="16">
        <v>1.95</v>
      </c>
      <c r="F41" s="16">
        <f>C41*E41</f>
        <v>39.019500000000001</v>
      </c>
      <c r="G41" s="14"/>
    </row>
    <row r="42" spans="2:8" ht="18" customHeight="1" x14ac:dyDescent="0.35">
      <c r="B42" s="5" t="s">
        <v>56</v>
      </c>
      <c r="C42" s="15">
        <v>1</v>
      </c>
      <c r="D42" s="15" t="s">
        <v>57</v>
      </c>
      <c r="E42" s="16">
        <v>5</v>
      </c>
      <c r="F42" s="16">
        <f t="shared" ref="F42:F45" si="3">C42*E42</f>
        <v>5</v>
      </c>
      <c r="G42" s="14"/>
      <c r="H42"/>
    </row>
    <row r="43" spans="2:8" ht="18" customHeight="1" x14ac:dyDescent="0.35">
      <c r="B43" s="5" t="s">
        <v>58</v>
      </c>
      <c r="C43" s="15">
        <v>1</v>
      </c>
      <c r="D43" s="15" t="s">
        <v>54</v>
      </c>
      <c r="E43" s="16">
        <v>250</v>
      </c>
      <c r="F43" s="16">
        <f t="shared" si="3"/>
        <v>250</v>
      </c>
      <c r="G43" s="14"/>
      <c r="H43"/>
    </row>
    <row r="44" spans="2:8" ht="18" customHeight="1" x14ac:dyDescent="0.35">
      <c r="B44" s="5" t="s">
        <v>59</v>
      </c>
      <c r="C44" s="15">
        <v>8</v>
      </c>
      <c r="D44" s="15" t="s">
        <v>60</v>
      </c>
      <c r="E44" s="16">
        <v>17.100000000000001</v>
      </c>
      <c r="F44" s="16">
        <f t="shared" si="3"/>
        <v>136.80000000000001</v>
      </c>
      <c r="G44" s="14"/>
      <c r="H44"/>
    </row>
    <row r="45" spans="2:8" ht="18" customHeight="1" x14ac:dyDescent="0.35">
      <c r="B45" s="5" t="s">
        <v>61</v>
      </c>
      <c r="C45" s="15">
        <v>1</v>
      </c>
      <c r="D45" s="15" t="s">
        <v>57</v>
      </c>
      <c r="E45" s="16">
        <v>10</v>
      </c>
      <c r="F45" s="16">
        <f t="shared" si="3"/>
        <v>10</v>
      </c>
      <c r="G45" s="14"/>
      <c r="H45"/>
    </row>
    <row r="46" spans="2:8" ht="18" customHeight="1" x14ac:dyDescent="0.35">
      <c r="B46" s="5" t="s">
        <v>62</v>
      </c>
      <c r="C46" s="15"/>
      <c r="D46" s="15"/>
      <c r="E46" s="16"/>
      <c r="F46" s="84">
        <f>SUMIF(F41:F45,"&gt;0",F41:F45)</f>
        <v>440.81950000000001</v>
      </c>
      <c r="G46" s="14"/>
    </row>
    <row r="47" spans="2:8" ht="18" customHeight="1" x14ac:dyDescent="0.35">
      <c r="B47" s="11" t="s">
        <v>63</v>
      </c>
      <c r="C47" s="15"/>
      <c r="D47" s="15"/>
      <c r="E47" s="16"/>
      <c r="F47" s="10"/>
      <c r="G47" s="14"/>
    </row>
    <row r="48" spans="2:8" ht="18" customHeight="1" x14ac:dyDescent="0.35">
      <c r="B48" s="5" t="s">
        <v>64</v>
      </c>
      <c r="C48" s="15">
        <v>43.38</v>
      </c>
      <c r="D48" s="15" t="s">
        <v>46</v>
      </c>
      <c r="E48" s="16">
        <v>1.95</v>
      </c>
      <c r="F48" s="16">
        <f>C48*E48</f>
        <v>84.591000000000008</v>
      </c>
      <c r="G48" s="14"/>
    </row>
    <row r="49" spans="2:8" ht="18" customHeight="1" x14ac:dyDescent="0.35">
      <c r="B49" s="5" t="s">
        <v>65</v>
      </c>
      <c r="C49" s="15">
        <v>2</v>
      </c>
      <c r="D49" s="15" t="s">
        <v>46</v>
      </c>
      <c r="E49" s="16">
        <v>2.6</v>
      </c>
      <c r="F49" s="16">
        <f>C49*E49</f>
        <v>5.2</v>
      </c>
      <c r="G49" s="14"/>
    </row>
    <row r="50" spans="2:8" ht="18" customHeight="1" x14ac:dyDescent="0.35">
      <c r="B50" s="5" t="s">
        <v>66</v>
      </c>
      <c r="C50" s="15">
        <v>3</v>
      </c>
      <c r="D50" s="15" t="s">
        <v>46</v>
      </c>
      <c r="E50" s="16">
        <v>3</v>
      </c>
      <c r="F50" s="16">
        <f>C50*E50</f>
        <v>9</v>
      </c>
      <c r="G50" s="14"/>
    </row>
    <row r="51" spans="2:8" ht="18" customHeight="1" x14ac:dyDescent="0.35">
      <c r="B51" s="5" t="s">
        <v>67</v>
      </c>
      <c r="C51" s="15">
        <v>1</v>
      </c>
      <c r="D51" s="15" t="s">
        <v>19</v>
      </c>
      <c r="E51" s="16">
        <v>81.710588360000003</v>
      </c>
      <c r="F51" s="16">
        <f>C51*E51</f>
        <v>81.710588360000003</v>
      </c>
      <c r="G51" s="14"/>
    </row>
    <row r="52" spans="2:8" ht="18" customHeight="1" x14ac:dyDescent="0.35">
      <c r="B52" s="5" t="s">
        <v>68</v>
      </c>
      <c r="C52" s="15"/>
      <c r="D52" s="15"/>
      <c r="E52" s="16"/>
      <c r="F52" s="16">
        <f>0.15*(+F50+F49+F48)</f>
        <v>14.818650000000002</v>
      </c>
      <c r="G52" s="14"/>
    </row>
    <row r="53" spans="2:8" ht="18" customHeight="1" x14ac:dyDescent="0.35">
      <c r="B53" s="5" t="s">
        <v>119</v>
      </c>
      <c r="C53" s="15">
        <v>150</v>
      </c>
      <c r="D53" s="15" t="s">
        <v>46</v>
      </c>
      <c r="E53" s="16">
        <v>1.95</v>
      </c>
      <c r="F53" s="16">
        <f>C53*E53</f>
        <v>292.5</v>
      </c>
      <c r="G53" s="14"/>
    </row>
    <row r="54" spans="2:8" ht="18" customHeight="1" x14ac:dyDescent="0.35">
      <c r="B54" s="5" t="s">
        <v>70</v>
      </c>
      <c r="C54" s="15"/>
      <c r="D54" s="15"/>
      <c r="E54" s="16"/>
      <c r="F54" s="56">
        <f>F48+F49+F50+F51+F52+F53</f>
        <v>487.82023836000002</v>
      </c>
      <c r="G54" s="17"/>
    </row>
    <row r="55" spans="2:8" ht="18" customHeight="1" x14ac:dyDescent="0.35">
      <c r="B55" s="11" t="s">
        <v>71</v>
      </c>
      <c r="C55" s="15"/>
      <c r="D55" s="15"/>
      <c r="E55" s="16"/>
      <c r="F55" s="16"/>
      <c r="G55" s="14"/>
    </row>
    <row r="56" spans="2:8" ht="18" customHeight="1" x14ac:dyDescent="0.35">
      <c r="B56" s="5" t="s">
        <v>72</v>
      </c>
      <c r="C56" s="15">
        <v>5.79</v>
      </c>
      <c r="D56" s="15" t="s">
        <v>60</v>
      </c>
      <c r="E56" s="16">
        <v>19.41375</v>
      </c>
      <c r="F56" s="16">
        <f>C56*E56</f>
        <v>112.4056125</v>
      </c>
      <c r="G56" s="14"/>
    </row>
    <row r="57" spans="2:8" ht="18" customHeight="1" x14ac:dyDescent="0.35">
      <c r="B57" s="5" t="s">
        <v>73</v>
      </c>
      <c r="C57" s="15">
        <v>1.5</v>
      </c>
      <c r="D57" s="15" t="s">
        <v>60</v>
      </c>
      <c r="E57" s="57">
        <v>16.134999999999998</v>
      </c>
      <c r="F57" s="16">
        <f>C57*E57</f>
        <v>24.202499999999997</v>
      </c>
      <c r="G57" s="17"/>
    </row>
    <row r="58" spans="2:8" ht="18" customHeight="1" x14ac:dyDescent="0.35">
      <c r="B58" s="5" t="s">
        <v>74</v>
      </c>
      <c r="C58" s="12">
        <f>2.5</f>
        <v>2.5</v>
      </c>
      <c r="D58" s="15" t="s">
        <v>60</v>
      </c>
      <c r="E58" s="16">
        <v>12.6775</v>
      </c>
      <c r="F58" s="16">
        <f>C58*E58</f>
        <v>31.693750000000001</v>
      </c>
      <c r="G58" s="58"/>
    </row>
    <row r="59" spans="2:8" ht="18" customHeight="1" x14ac:dyDescent="0.35">
      <c r="B59" s="5" t="s">
        <v>75</v>
      </c>
      <c r="C59" s="15">
        <f>5</f>
        <v>5</v>
      </c>
      <c r="D59" s="15" t="s">
        <v>60</v>
      </c>
      <c r="E59" s="16">
        <v>17.86375</v>
      </c>
      <c r="F59" s="16">
        <f t="shared" ref="F59" si="4">E59*C59</f>
        <v>89.318749999999994</v>
      </c>
      <c r="G59" s="14"/>
    </row>
    <row r="60" spans="2:8" ht="18" customHeight="1" x14ac:dyDescent="0.35">
      <c r="B60" s="5" t="s">
        <v>76</v>
      </c>
      <c r="C60" s="15">
        <v>3.5</v>
      </c>
      <c r="D60" s="15" t="s">
        <v>60</v>
      </c>
      <c r="E60" s="16">
        <v>16.134999999999998</v>
      </c>
      <c r="F60" s="16">
        <f>C60*E60</f>
        <v>56.472499999999997</v>
      </c>
      <c r="G60" s="14"/>
      <c r="H60" s="14"/>
    </row>
    <row r="61" spans="2:8" ht="18" customHeight="1" x14ac:dyDescent="0.35">
      <c r="B61" s="5" t="s">
        <v>77</v>
      </c>
      <c r="C61" s="15"/>
      <c r="D61" s="15"/>
      <c r="E61" s="16"/>
      <c r="F61" s="56">
        <f>F56+F57+F58+F59+F60</f>
        <v>314.09311249999996</v>
      </c>
      <c r="G61" s="14"/>
      <c r="H61" s="14"/>
    </row>
    <row r="62" spans="2:8" ht="18" customHeight="1" x14ac:dyDescent="0.35">
      <c r="B62" s="19" t="s">
        <v>120</v>
      </c>
      <c r="C62" s="20"/>
      <c r="D62" s="20"/>
      <c r="E62" s="21"/>
      <c r="F62" s="21"/>
      <c r="G62" s="14"/>
      <c r="H62" s="14"/>
    </row>
    <row r="63" spans="2:8" ht="18" customHeight="1" x14ac:dyDescent="0.35">
      <c r="B63" s="24" t="s">
        <v>79</v>
      </c>
      <c r="C63" s="59">
        <v>800</v>
      </c>
      <c r="D63" s="85" t="s">
        <v>114</v>
      </c>
      <c r="E63" s="60">
        <v>1</v>
      </c>
      <c r="F63" s="21">
        <f>C63*E63</f>
        <v>800</v>
      </c>
      <c r="G63" s="14"/>
      <c r="H63" s="14"/>
    </row>
    <row r="64" spans="2:8" ht="18" customHeight="1" x14ac:dyDescent="0.35">
      <c r="B64" s="24" t="s">
        <v>121</v>
      </c>
      <c r="C64" s="59"/>
      <c r="D64" s="59"/>
      <c r="E64" s="21"/>
      <c r="F64" s="61">
        <f>SUM(F63:F63)</f>
        <v>800</v>
      </c>
      <c r="G64" s="14"/>
      <c r="H64" s="14"/>
    </row>
    <row r="65" spans="2:8" ht="18" customHeight="1" x14ac:dyDescent="0.35">
      <c r="B65" s="19" t="s">
        <v>83</v>
      </c>
      <c r="C65" s="20"/>
      <c r="D65" s="20"/>
      <c r="E65" s="21"/>
      <c r="F65" s="21"/>
      <c r="G65" s="22"/>
      <c r="H65" s="38"/>
    </row>
    <row r="66" spans="2:8" ht="18" customHeight="1" x14ac:dyDescent="0.35">
      <c r="B66" s="24" t="s">
        <v>84</v>
      </c>
      <c r="C66" s="62">
        <v>1</v>
      </c>
      <c r="D66" s="24" t="s">
        <v>85</v>
      </c>
      <c r="E66" s="60">
        <v>84</v>
      </c>
      <c r="F66" s="21">
        <f t="shared" ref="F66:F67" si="5">C66*E66</f>
        <v>84</v>
      </c>
      <c r="G66" s="22"/>
      <c r="H66" s="38"/>
    </row>
    <row r="67" spans="2:8" ht="18" customHeight="1" x14ac:dyDescent="0.35">
      <c r="B67" s="24" t="s">
        <v>86</v>
      </c>
      <c r="C67" s="63">
        <v>800</v>
      </c>
      <c r="D67" s="86" t="s">
        <v>114</v>
      </c>
      <c r="E67" s="60">
        <v>0.05</v>
      </c>
      <c r="F67" s="21">
        <f t="shared" si="5"/>
        <v>40</v>
      </c>
      <c r="G67" s="22"/>
      <c r="H67" s="38"/>
    </row>
    <row r="68" spans="2:8" ht="18" customHeight="1" x14ac:dyDescent="0.35">
      <c r="B68" s="24" t="s">
        <v>87</v>
      </c>
      <c r="C68" s="63">
        <v>1</v>
      </c>
      <c r="D68" s="86" t="s">
        <v>85</v>
      </c>
      <c r="E68" s="60">
        <v>10</v>
      </c>
      <c r="F68" s="21">
        <f>C68*E68</f>
        <v>10</v>
      </c>
      <c r="G68" s="22"/>
      <c r="H68" s="38"/>
    </row>
    <row r="69" spans="2:8" ht="18" customHeight="1" x14ac:dyDescent="0.35">
      <c r="B69" s="5" t="s">
        <v>88</v>
      </c>
      <c r="C69" s="15"/>
      <c r="D69" s="15"/>
      <c r="E69" s="16"/>
      <c r="F69" s="10">
        <f>SUM(F66:F68)</f>
        <v>134</v>
      </c>
      <c r="G69" s="22"/>
      <c r="H69" s="38"/>
    </row>
    <row r="70" spans="2:8" ht="18" customHeight="1" x14ac:dyDescent="0.35">
      <c r="B70" s="5" t="s">
        <v>89</v>
      </c>
      <c r="C70" s="15"/>
      <c r="D70" s="15"/>
      <c r="E70" s="16"/>
      <c r="F70" s="56">
        <f>F5+F33+F39+F46+F54+F61+F64+F69+F12</f>
        <v>4290.9428508600004</v>
      </c>
      <c r="G70" s="22"/>
      <c r="H70" s="38"/>
    </row>
    <row r="71" spans="2:8" s="8" customFormat="1" ht="18" customHeight="1" x14ac:dyDescent="0.35">
      <c r="B71" s="5" t="s">
        <v>90</v>
      </c>
      <c r="C71" s="15"/>
      <c r="D71" s="15"/>
      <c r="E71" s="16"/>
      <c r="F71" s="16">
        <f>0.0625*(F70)/2</f>
        <v>134.09196408937501</v>
      </c>
      <c r="G71" s="14"/>
    </row>
    <row r="72" spans="2:8" s="8" customFormat="1" ht="18" customHeight="1" x14ac:dyDescent="0.35">
      <c r="B72" s="5" t="s">
        <v>91</v>
      </c>
      <c r="C72" s="15"/>
      <c r="D72" s="15"/>
      <c r="E72" s="16"/>
      <c r="F72" s="56">
        <f>F70+F71</f>
        <v>4425.0348149493757</v>
      </c>
      <c r="G72" s="14"/>
    </row>
    <row r="73" spans="2:8" s="8" customFormat="1" ht="18" customHeight="1" x14ac:dyDescent="0.35">
      <c r="B73" s="11" t="s">
        <v>130</v>
      </c>
      <c r="C73" s="15"/>
      <c r="D73" s="15"/>
      <c r="E73" s="16" t="s">
        <v>122</v>
      </c>
      <c r="F73" s="16"/>
      <c r="G73" s="14"/>
    </row>
    <row r="74" spans="2:8" s="8" customFormat="1" ht="18" customHeight="1" x14ac:dyDescent="0.35">
      <c r="B74" s="66" t="s">
        <v>93</v>
      </c>
      <c r="C74" s="15"/>
      <c r="D74" s="16"/>
      <c r="E74" s="56">
        <v>576.26</v>
      </c>
      <c r="G74" s="14"/>
    </row>
    <row r="75" spans="2:8" s="8" customFormat="1" ht="18" customHeight="1" x14ac:dyDescent="0.35">
      <c r="B75" s="5" t="s">
        <v>94</v>
      </c>
      <c r="C75" s="15">
        <v>1</v>
      </c>
      <c r="D75" s="16">
        <v>367</v>
      </c>
      <c r="E75" s="16">
        <f>C75*D75</f>
        <v>367</v>
      </c>
      <c r="G75" s="14"/>
    </row>
    <row r="76" spans="2:8" s="8" customFormat="1" ht="18" customHeight="1" x14ac:dyDescent="0.35">
      <c r="B76" s="5" t="s">
        <v>95</v>
      </c>
      <c r="C76" s="15"/>
      <c r="D76" s="16"/>
      <c r="E76" s="16">
        <f>0.05*F72</f>
        <v>221.2517407474688</v>
      </c>
      <c r="G76" s="14"/>
    </row>
    <row r="77" spans="2:8" s="8" customFormat="1" ht="18" customHeight="1" x14ac:dyDescent="0.35">
      <c r="B77" s="5" t="s">
        <v>96</v>
      </c>
      <c r="C77" s="15"/>
      <c r="D77" s="16"/>
      <c r="E77" s="16">
        <f>0.025*F72</f>
        <v>110.6258703737344</v>
      </c>
      <c r="G77" s="14"/>
      <c r="H77" s="67"/>
    </row>
    <row r="78" spans="2:8" s="8" customFormat="1" ht="18" customHeight="1" x14ac:dyDescent="0.35">
      <c r="B78" s="5" t="s">
        <v>97</v>
      </c>
      <c r="C78" s="15"/>
      <c r="D78" s="16"/>
      <c r="E78" s="18">
        <f>SUM(E74:E77)</f>
        <v>1275.1376111212032</v>
      </c>
      <c r="G78" s="14"/>
    </row>
    <row r="79" spans="2:8" s="8" customFormat="1" ht="18" customHeight="1" x14ac:dyDescent="0.35">
      <c r="B79" s="5" t="s">
        <v>98</v>
      </c>
      <c r="C79" s="15"/>
      <c r="D79" s="16"/>
      <c r="E79" s="56">
        <f>E78+F72</f>
        <v>5700.1724260705787</v>
      </c>
      <c r="G79" s="14"/>
    </row>
    <row r="80" spans="2:8" s="8" customFormat="1" ht="18" customHeight="1" x14ac:dyDescent="0.35">
      <c r="B80" s="5" t="s">
        <v>99</v>
      </c>
      <c r="C80" s="68"/>
      <c r="D80" s="57"/>
      <c r="E80" s="57">
        <f>F2-F72</f>
        <v>1454.9651850506243</v>
      </c>
      <c r="G80" s="14"/>
    </row>
    <row r="81" spans="1:7" s="8" customFormat="1" ht="18" customHeight="1" x14ac:dyDescent="0.35">
      <c r="B81" s="5" t="s">
        <v>100</v>
      </c>
      <c r="C81" s="68"/>
      <c r="D81" s="57"/>
      <c r="E81" s="57">
        <f>F2-E79</f>
        <v>179.82757392942131</v>
      </c>
      <c r="G81" s="14"/>
    </row>
    <row r="82" spans="1:7" s="8" customFormat="1" ht="18" customHeight="1" x14ac:dyDescent="0.35">
      <c r="B82" s="69" t="s">
        <v>123</v>
      </c>
      <c r="C82" s="68"/>
      <c r="D82" s="70"/>
      <c r="E82" s="57">
        <f>F72/C2</f>
        <v>5.53129351868672</v>
      </c>
      <c r="G82" s="14"/>
    </row>
    <row r="83" spans="1:7" s="8" customFormat="1" ht="18" customHeight="1" x14ac:dyDescent="0.35">
      <c r="B83" s="69" t="s">
        <v>124</v>
      </c>
      <c r="C83" s="68"/>
      <c r="D83" s="70"/>
      <c r="E83" s="57">
        <f>E79/C2</f>
        <v>7.1252155325882232</v>
      </c>
      <c r="G83" s="14"/>
    </row>
    <row r="84" spans="1:7" s="8" customFormat="1" ht="18" customHeight="1" x14ac:dyDescent="0.35">
      <c r="B84" s="71"/>
      <c r="C84" s="72" t="s">
        <v>103</v>
      </c>
      <c r="D84" s="71"/>
      <c r="E84" s="72" t="s">
        <v>104</v>
      </c>
      <c r="G84" s="14"/>
    </row>
    <row r="85" spans="1:7" s="8" customFormat="1" ht="18" customHeight="1" x14ac:dyDescent="0.35">
      <c r="A85" s="73"/>
      <c r="B85" s="71" t="s">
        <v>2</v>
      </c>
      <c r="C85" s="74">
        <v>0.05</v>
      </c>
      <c r="D85" s="75" t="s">
        <v>125</v>
      </c>
      <c r="E85" s="74">
        <v>0.05</v>
      </c>
      <c r="G85" s="14"/>
    </row>
    <row r="86" spans="1:7" s="8" customFormat="1" ht="18" customHeight="1" x14ac:dyDescent="0.35">
      <c r="A86" s="14"/>
      <c r="B86" s="71" t="s">
        <v>126</v>
      </c>
      <c r="C86" s="76">
        <f>D86*(1-C85)</f>
        <v>760</v>
      </c>
      <c r="D86" s="76">
        <f>C2</f>
        <v>800</v>
      </c>
      <c r="E86" s="76">
        <f>D86*(1+E85)</f>
        <v>840</v>
      </c>
      <c r="G86" s="14"/>
    </row>
    <row r="87" spans="1:7" s="8" customFormat="1" ht="18" customHeight="1" x14ac:dyDescent="0.35">
      <c r="A87" s="77"/>
      <c r="B87" s="71" t="s">
        <v>123</v>
      </c>
      <c r="C87" s="78">
        <f>$F$72/C86</f>
        <v>5.8224142301965474</v>
      </c>
      <c r="D87" s="78">
        <f>$F$72/D86</f>
        <v>5.53129351868672</v>
      </c>
      <c r="E87" s="78">
        <f>$F$72/E86</f>
        <v>5.2678985892254468</v>
      </c>
      <c r="G87" s="14"/>
    </row>
    <row r="88" spans="1:7" s="8" customFormat="1" ht="18" customHeight="1" x14ac:dyDescent="0.35">
      <c r="B88" s="71" t="s">
        <v>127</v>
      </c>
      <c r="C88" s="78">
        <f>$E$78/C86</f>
        <v>1.6778126462121095</v>
      </c>
      <c r="D88" s="78">
        <f>$E$78/D86</f>
        <v>1.593922013901504</v>
      </c>
      <c r="E88" s="78">
        <f>$E$78/E86</f>
        <v>1.5180209656204799</v>
      </c>
      <c r="G88" s="14"/>
    </row>
    <row r="89" spans="1:7" s="8" customFormat="1" ht="18" customHeight="1" x14ac:dyDescent="0.35">
      <c r="A89" s="77"/>
      <c r="B89" s="71" t="s">
        <v>109</v>
      </c>
      <c r="C89" s="78">
        <f>$E$79/C86</f>
        <v>7.5002268764086564</v>
      </c>
      <c r="D89" s="78">
        <f>$E$79/D86</f>
        <v>7.1252155325882232</v>
      </c>
      <c r="E89" s="78">
        <f>$E$79/E86</f>
        <v>6.7859195548459272</v>
      </c>
      <c r="G89" s="14"/>
    </row>
    <row r="90" spans="1:7" s="8" customFormat="1" ht="18" customHeight="1" x14ac:dyDescent="0.35">
      <c r="A90" s="77"/>
      <c r="B90" s="71"/>
      <c r="C90" s="71"/>
      <c r="D90" s="75" t="s">
        <v>2</v>
      </c>
      <c r="E90" s="71"/>
      <c r="G90" s="14"/>
    </row>
    <row r="91" spans="1:7" s="8" customFormat="1" ht="18" customHeight="1" x14ac:dyDescent="0.35">
      <c r="A91" s="77"/>
      <c r="B91" s="71" t="s">
        <v>110</v>
      </c>
      <c r="C91" s="79">
        <f>D91*(1-C85)</f>
        <v>6.982499999999999</v>
      </c>
      <c r="D91" s="79">
        <f>E2</f>
        <v>7.35</v>
      </c>
      <c r="E91" s="79">
        <f>D91*(1+E85)</f>
        <v>7.7175000000000002</v>
      </c>
      <c r="G91" s="14"/>
    </row>
    <row r="92" spans="1:7" s="8" customFormat="1" ht="18" customHeight="1" x14ac:dyDescent="0.35">
      <c r="A92" s="80"/>
      <c r="B92" s="71" t="s">
        <v>128</v>
      </c>
      <c r="C92" s="76">
        <f>$F$72/C91</f>
        <v>633.73216110982833</v>
      </c>
      <c r="D92" s="76">
        <f>$F$72/D91</f>
        <v>602.04555305433689</v>
      </c>
      <c r="E92" s="76">
        <f>$F$72/E91</f>
        <v>573.3767171946065</v>
      </c>
      <c r="G92" s="14"/>
    </row>
    <row r="93" spans="1:7" s="8" customFormat="1" ht="18" customHeight="1" x14ac:dyDescent="0.35">
      <c r="A93" s="80"/>
      <c r="B93" s="71" t="s">
        <v>127</v>
      </c>
      <c r="C93" s="76">
        <f>$E$78/C91</f>
        <v>182.61906353329087</v>
      </c>
      <c r="D93" s="76">
        <f>$E$78/D91</f>
        <v>173.48811035662629</v>
      </c>
      <c r="E93" s="76">
        <f>$E$78/E91</f>
        <v>165.22677176821551</v>
      </c>
      <c r="G93" s="14"/>
    </row>
    <row r="94" spans="1:7" s="8" customFormat="1" ht="18" customHeight="1" x14ac:dyDescent="0.35">
      <c r="B94" s="71" t="s">
        <v>109</v>
      </c>
      <c r="C94" s="76">
        <f>$E$79/C91</f>
        <v>816.35122464311917</v>
      </c>
      <c r="D94" s="76">
        <f>$E$79/D91</f>
        <v>775.53366341096307</v>
      </c>
      <c r="E94" s="76">
        <f>$E$79/E91</f>
        <v>738.60348896282198</v>
      </c>
      <c r="G94" s="14"/>
    </row>
    <row r="95" spans="1:7" s="8" customFormat="1" ht="20.85" customHeight="1" x14ac:dyDescent="0.25"/>
    <row r="96" spans="1:7" s="8" customFormat="1" ht="20.85" customHeight="1" x14ac:dyDescent="0.25"/>
  </sheetData>
  <dataValidations count="1"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Mkt Yield With Packout  </vt:lpstr>
      <vt:lpstr>FieldRun</vt:lpstr>
    </vt:vector>
  </TitlesOfParts>
  <Company>The College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Greenway</dc:creator>
  <cp:lastModifiedBy>Gina Greenway</cp:lastModifiedBy>
  <dcterms:created xsi:type="dcterms:W3CDTF">2020-02-06T21:57:13Z</dcterms:created>
  <dcterms:modified xsi:type="dcterms:W3CDTF">2020-04-16T21:46:43Z</dcterms:modified>
</cp:coreProperties>
</file>