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96" windowWidth="17570" windowHeight="11960" tabRatio="785" firstSheet="3" activeTab="16"/>
  </bookViews>
  <sheets>
    <sheet name="Instructions" sheetId="1" r:id="rId1"/>
    <sheet name="Authors" sheetId="2" r:id="rId2"/>
    <sheet name="Mach_Input" sheetId="3" r:id="rId3"/>
    <sheet name="Mach_Output" sheetId="4" r:id="rId4"/>
    <sheet name="Input Price" sheetId="5" r:id="rId5"/>
    <sheet name="SWI-DB-13" sheetId="6" r:id="rId6"/>
    <sheet name="SWI-CS-13" sheetId="7" r:id="rId7"/>
    <sheet name="SWI-FC-13" sheetId="8" r:id="rId8"/>
    <sheet name="SWI-On-13" sheetId="9" r:id="rId9"/>
    <sheet name="SWI-Po1-13" sheetId="10" state="hidden" r:id="rId10"/>
    <sheet name="SWI-Po3-13" sheetId="11" state="hidden" r:id="rId11"/>
    <sheet name="SWI-Su-13" sheetId="12" state="hidden" r:id="rId12"/>
    <sheet name="SWI-FB-13" sheetId="13" r:id="rId13"/>
    <sheet name="SWI-SWS-13" sheetId="14" r:id="rId14"/>
    <sheet name="SWI-SWW-13" sheetId="15" r:id="rId15"/>
    <sheet name="SWI-AH-13" sheetId="16" r:id="rId16"/>
    <sheet name="SWI-AS-13" sheetId="17" r:id="rId17"/>
  </sheets>
  <definedNames>
    <definedName name="AffinityB">'Input Price'!$D$56</definedName>
    <definedName name="AlfalfaSeed">'Input Price'!$D$18</definedName>
    <definedName name="AMS">'Input Price'!$D$57</definedName>
    <definedName name="AZA">'Input Price'!$D$58</definedName>
    <definedName name="Beleaf">'Input Price'!$D$59</definedName>
    <definedName name="Boron">'Input Price'!$D$26</definedName>
    <definedName name="Brigade">'Input Price'!$D$60</definedName>
    <definedName name="BronateA">'Input Price'!$D$61</definedName>
    <definedName name="Buc2EC2x">'Input Price'!$D$62</definedName>
    <definedName name="Buctril">'Input Price'!#REF!</definedName>
    <definedName name="CAirspray5">'Input Price'!$D$37</definedName>
    <definedName name="Carzol">'Input Price'!$D$63</definedName>
    <definedName name="Cashrent">'Input Price'!$D$110</definedName>
    <definedName name="CCC">'Input Price'!$D$41</definedName>
    <definedName name="CCG">'Input Price'!$D$40</definedName>
    <definedName name="CCHP">'Input Price'!$D$48</definedName>
    <definedName name="CcombineC">'Input Price'!$D$40</definedName>
    <definedName name="CCombineDB">'Input Price'!$D$39</definedName>
    <definedName name="CCombineG">'Input Price'!$D$39</definedName>
    <definedName name="CcombineGrain">'Input Price'!$D$40</definedName>
    <definedName name="CCW">'Input Price'!$D$42</definedName>
    <definedName name="CF">'Input Price'!$D$43</definedName>
    <definedName name="CFD">'Input Price'!$D$45</definedName>
    <definedName name="CFRC">'Input Price'!$D$44</definedName>
    <definedName name="CGroundSpray">'Input Price'!$D$38</definedName>
    <definedName name="CHbu">'Input Price'!$D$47</definedName>
    <definedName name="CHcwt">'Input Price'!$D$46</definedName>
    <definedName name="CIAH">'Input Price'!#REF!</definedName>
    <definedName name="CICS">'Input Price'!#REF!</definedName>
    <definedName name="CIDB">'Input Price'!#REF!</definedName>
    <definedName name="CIFB">'Input Price'!#REF!</definedName>
    <definedName name="CIOSPC">'Input Price'!#REF!</definedName>
    <definedName name="CIOSY">'Input Price'!#REF!</definedName>
    <definedName name="CISW">'Input Price'!#REF!</definedName>
    <definedName name="CIWW">'Input Price'!#REF!</definedName>
    <definedName name="CornSEEDC">'Input Price'!$D$14</definedName>
    <definedName name="Counter">'Input Price'!$D$64</definedName>
    <definedName name="CronSEEDC">'Input Price'!$D$14</definedName>
    <definedName name="CS">'Input Price'!$D$49</definedName>
    <definedName name="CSR">'Input Price'!$D$51</definedName>
    <definedName name="CustomStack">'Input Price'!$D$50</definedName>
    <definedName name="DB">'Input Price'!$D$12</definedName>
    <definedName name="Dibrom">'Input Price'!$D$65</definedName>
    <definedName name="Dithane">'Input Price'!$D$66</definedName>
    <definedName name="DN">'Input Price'!$D$21</definedName>
    <definedName name="Dpest">'Input Price'!$D$55</definedName>
    <definedName name="Dry">'Input Price'!$D$27</definedName>
    <definedName name="DualMagnum">'Input Price'!$D$67</definedName>
    <definedName name="DualMagnum2">'Input Price'!$D$67</definedName>
    <definedName name="DUm">'Input Price'!#REF!</definedName>
    <definedName name="Dum764">'Input Price'!#REF!</definedName>
    <definedName name="FB">'Input Price'!$D$17</definedName>
    <definedName name="FuelD">'Input Price'!$D$5</definedName>
    <definedName name="FuelGas">'Input Price'!$D$6</definedName>
    <definedName name="FuelRD">'Input Price'!$D$7</definedName>
    <definedName name="Furadan">'Input Price'!$D$68</definedName>
    <definedName name="Goal">'Input Price'!$D$69</definedName>
    <definedName name="Gramoxone">'Input Price'!$D$70</definedName>
    <definedName name="Harmony">'Input Price'!$D$71</definedName>
    <definedName name="HW">'Input Price'!$D$52</definedName>
    <definedName name="IrrigationR">'Input Price'!$D$33</definedName>
    <definedName name="IrriL">'Input Price'!$D$99</definedName>
    <definedName name="K">'Input Price'!$D$28</definedName>
    <definedName name="Labor">'Input Price'!$D$98</definedName>
    <definedName name="Laborother">'Input Price'!$D$100</definedName>
    <definedName name="LandTax">'Input Price'!$D$113</definedName>
    <definedName name="Lannate">'Input Price'!$D$72</definedName>
    <definedName name="LN">'Input Price'!$D$22</definedName>
    <definedName name="Lorsban">'Input Price'!$D$73</definedName>
    <definedName name="Lother">'Input Price'!$D$100</definedName>
    <definedName name="MachLoan">'Input Price'!$D$117</definedName>
    <definedName name="MethSeed">'Input Price'!$D$74</definedName>
    <definedName name="MgtFee">'Input Price'!$D$107</definedName>
    <definedName name="MH30">'Input Price'!$D$75</definedName>
    <definedName name="Micron">'Input Price'!$D$29</definedName>
    <definedName name="MicroTech">'Input Price'!$D$76</definedName>
    <definedName name="Nitrogen">#REF!</definedName>
    <definedName name="Nonionic">'Input Price'!$D$77</definedName>
    <definedName name="OH">'Input Price'!$D$104</definedName>
    <definedName name="Onager">'Input Price'!$D$78</definedName>
    <definedName name="OnionSeedPC">'Input Price'!$D$16</definedName>
    <definedName name="OnionSeedY">'Input Price'!$D$15</definedName>
    <definedName name="Oper">'Input Price'!$D$116</definedName>
    <definedName name="Poast">'Input Price'!$D$79</definedName>
    <definedName name="_xlnm.Print_Area" localSheetId="15">'SWI-AH-13'!$A$1:$L$115</definedName>
    <definedName name="_xlnm.Print_Area" localSheetId="6">'SWI-CS-13'!$A$1:$L$114</definedName>
    <definedName name="_xlnm.Print_Area" localSheetId="5">'SWI-DB-13'!$A$1:$L$113</definedName>
    <definedName name="_xlnm.Print_Area" localSheetId="12">'SWI-FB-13'!$A$1:$L$115</definedName>
    <definedName name="_xlnm.Print_Area" localSheetId="7">'SWI-FC-13'!$A$1:$L$114</definedName>
    <definedName name="_xlnm.Print_Area" localSheetId="8">'SWI-On-13'!$A$1:$L$128</definedName>
    <definedName name="_xlnm.Print_Area" localSheetId="9">'SWI-Po1-13'!$A$1:$L$125</definedName>
    <definedName name="_xlnm.Print_Area" localSheetId="10">'SWI-Po3-13'!$A$1:$L$126</definedName>
    <definedName name="_xlnm.Print_Area" localSheetId="11">'SWI-Su-13'!$A$1:$L$120</definedName>
    <definedName name="_xlnm.Print_Area" localSheetId="13">'SWI-SWS-13'!$A$1:$L$114</definedName>
    <definedName name="_xlnm.Print_Area" localSheetId="14">'SWI-SWW-13'!$A$1:$L$114</definedName>
    <definedName name="_xlnm.Print_Titles" localSheetId="15">'SWI-AH-13'!$1:$5</definedName>
    <definedName name="_xlnm.Print_Titles" localSheetId="6">'SWI-CS-13'!$1:$5</definedName>
    <definedName name="_xlnm.Print_Titles" localSheetId="5">'SWI-DB-13'!$1:$5</definedName>
    <definedName name="_xlnm.Print_Titles" localSheetId="12">'SWI-FB-13'!$1:$5</definedName>
    <definedName name="_xlnm.Print_Titles" localSheetId="7">'SWI-FC-13'!$1:$5</definedName>
    <definedName name="_xlnm.Print_Titles" localSheetId="8">'SWI-On-13'!$1:$5</definedName>
    <definedName name="_xlnm.Print_Titles" localSheetId="9">'SWI-Po1-13'!$1:$5</definedName>
    <definedName name="_xlnm.Print_Titles" localSheetId="10">'SWI-Po3-13'!$1:$5</definedName>
    <definedName name="_xlnm.Print_Titles" localSheetId="11">'SWI-Su-13'!$1:$5</definedName>
    <definedName name="_xlnm.Print_Titles" localSheetId="13">'SWI-SWS-13'!$1:$5</definedName>
    <definedName name="_xlnm.Print_Titles" localSheetId="14">'SWI-SWW-13'!$1:$5</definedName>
    <definedName name="Pristine">'Input Price'!$D$80</definedName>
    <definedName name="Prowl">'Input Price'!$D$81</definedName>
    <definedName name="ProwlH">'Input Price'!#REF!</definedName>
    <definedName name="ProwlH2O">'Input Price'!$D$82</definedName>
    <definedName name="Quadris">'Input Price'!$D$83</definedName>
    <definedName name="Raptor">'Input Price'!$D$84</definedName>
    <definedName name="Rimon">'Input Price'!$D$85</definedName>
    <definedName name="Roriginal">'Input Price'!#REF!</definedName>
    <definedName name="Rpowermax">'Input Price'!$D$86</definedName>
    <definedName name="RRC">'Input Price'!$D$13</definedName>
    <definedName name="Sonalan">'Input Price'!$D$87</definedName>
    <definedName name="StaraneUltra">'Input Price'!$D$88</definedName>
    <definedName name="Success">'Input Price'!$D$89</definedName>
    <definedName name="SulfurD">'Input Price'!$D$24</definedName>
    <definedName name="SulfurL">'Input Price'!$D$23</definedName>
    <definedName name="SWSW">'Input Price'!$D$11</definedName>
    <definedName name="SWWW">'Input Price'!$D$10</definedName>
    <definedName name="Thiodan">'Input Price'!$D$90</definedName>
    <definedName name="Vapam">'Input Price'!$D$91</definedName>
    <definedName name="Velpar">'Input Price'!$D$92</definedName>
    <definedName name="Warrior">'Input Price'!$D$93</definedName>
    <definedName name="WaterA">'Input Price'!$D$34</definedName>
    <definedName name="Zinc">'Input Price'!$D$25</definedName>
  </definedNames>
  <calcPr fullCalcOnLoad="1"/>
</workbook>
</file>

<file path=xl/sharedStrings.xml><?xml version="1.0" encoding="utf-8"?>
<sst xmlns="http://schemas.openxmlformats.org/spreadsheetml/2006/main" count="1691" uniqueCount="419">
  <si>
    <t>Gross Returns</t>
  </si>
  <si>
    <t>Item</t>
  </si>
  <si>
    <t>Quantity</t>
  </si>
  <si>
    <t>Per Acre</t>
  </si>
  <si>
    <t>Unit</t>
  </si>
  <si>
    <t>Price or</t>
  </si>
  <si>
    <t>Cost</t>
  </si>
  <si>
    <t>Cost/Acre</t>
  </si>
  <si>
    <t>Value or</t>
  </si>
  <si>
    <t>cwt</t>
  </si>
  <si>
    <t>Operating Inputs</t>
  </si>
  <si>
    <t>Seed:</t>
  </si>
  <si>
    <t>Fertilizer:</t>
  </si>
  <si>
    <t>K2O</t>
  </si>
  <si>
    <t>Sulfur</t>
  </si>
  <si>
    <t>Liquid Nitrogen</t>
  </si>
  <si>
    <t>Micronutrients</t>
  </si>
  <si>
    <t>Pesticides:</t>
  </si>
  <si>
    <t>Custom Fertilize</t>
  </si>
  <si>
    <t>Consultant</t>
  </si>
  <si>
    <t>Custom Air Spray-10G</t>
  </si>
  <si>
    <t>Water Assessment</t>
  </si>
  <si>
    <t>Irrigation:</t>
  </si>
  <si>
    <t>Other:</t>
  </si>
  <si>
    <t>Crop Insurance</t>
  </si>
  <si>
    <t>Fees &amp; Assessments</t>
  </si>
  <si>
    <t>Machinery Repairs</t>
  </si>
  <si>
    <t>Total Operating Costs</t>
  </si>
  <si>
    <t>Operating Costs per Unit</t>
  </si>
  <si>
    <t>Net Returns Above Operating Expenses</t>
  </si>
  <si>
    <t>Ownership Costs:</t>
  </si>
  <si>
    <t>Overhead</t>
  </si>
  <si>
    <t>Management Fee</t>
  </si>
  <si>
    <t>Total Ownership Costs</t>
  </si>
  <si>
    <t>Ownership Costs per Unit</t>
  </si>
  <si>
    <t>Total Costs per Acre</t>
  </si>
  <si>
    <t>Total Cost per Unit</t>
  </si>
  <si>
    <t>Returns to Risk</t>
  </si>
  <si>
    <t>lb</t>
  </si>
  <si>
    <t>ac</t>
  </si>
  <si>
    <t>acin</t>
  </si>
  <si>
    <t>Irrigation Power-CP</t>
  </si>
  <si>
    <t>hr</t>
  </si>
  <si>
    <t>Custom &amp; Consultants:</t>
  </si>
  <si>
    <t>Land *</t>
  </si>
  <si>
    <t>* Includes irrigation system ownership costs.</t>
  </si>
  <si>
    <t>oz</t>
  </si>
  <si>
    <t>Custom Combine</t>
  </si>
  <si>
    <t>Custom Haul</t>
  </si>
  <si>
    <t>Price</t>
  </si>
  <si>
    <t xml:space="preserve"> </t>
  </si>
  <si>
    <t>Total</t>
  </si>
  <si>
    <t>Breakeven Analysis:</t>
  </si>
  <si>
    <t>Yield</t>
  </si>
  <si>
    <t>Base</t>
  </si>
  <si>
    <t>+</t>
  </si>
  <si>
    <t>-</t>
  </si>
  <si>
    <t>Operating Cost Breakeven</t>
  </si>
  <si>
    <t>Ownership Cost Breakeven</t>
  </si>
  <si>
    <t>Total Cost Breakeven</t>
  </si>
  <si>
    <t>User's Name:</t>
  </si>
  <si>
    <t>Address:</t>
  </si>
  <si>
    <t>Date:</t>
  </si>
  <si>
    <t>Tractors &amp; Equipment Insurance</t>
  </si>
  <si>
    <t>ton</t>
  </si>
  <si>
    <t>unit</t>
  </si>
  <si>
    <t>Co-op Stock</t>
  </si>
  <si>
    <t>Alfalfa Hay</t>
  </si>
  <si>
    <t>Custom Bale: 1-ton</t>
  </si>
  <si>
    <t>Custom Stack: 1-ton</t>
  </si>
  <si>
    <t>Amortized Establishment Cost</t>
  </si>
  <si>
    <t>Dry Nitrogen - Preplant</t>
  </si>
  <si>
    <t>Dry P2O5</t>
  </si>
  <si>
    <t>Liquid P2O5</t>
  </si>
  <si>
    <t>Dry Nitrogen</t>
  </si>
  <si>
    <t>Meth. Seed Oil</t>
  </si>
  <si>
    <t>bu</t>
  </si>
  <si>
    <t>Wheat Seed: SWS</t>
  </si>
  <si>
    <t>Dry Beans</t>
  </si>
  <si>
    <t>Zinc</t>
  </si>
  <si>
    <t>Corn Silage</t>
  </si>
  <si>
    <t>Custom Hauling</t>
  </si>
  <si>
    <t>Custom Sidedress</t>
  </si>
  <si>
    <t>Custom Air Spray - 5G</t>
  </si>
  <si>
    <t>Irrigation Repairs - CD</t>
  </si>
  <si>
    <t>Furadan 4F</t>
  </si>
  <si>
    <t xml:space="preserve">ac </t>
  </si>
  <si>
    <t>Notes:</t>
  </si>
  <si>
    <t>Irrigation Repairs: CD</t>
  </si>
  <si>
    <t>Irrigation Repairs - CD*</t>
  </si>
  <si>
    <t>Onions</t>
  </si>
  <si>
    <t>gal</t>
  </si>
  <si>
    <t>MH30 Sprout Inhibitor</t>
  </si>
  <si>
    <t>Hand Weed</t>
  </si>
  <si>
    <t>Marketing</t>
  </si>
  <si>
    <t>Storage Bin Rental</t>
  </si>
  <si>
    <t>Irrigation Repairs - CD *</t>
  </si>
  <si>
    <t>Barley Seed</t>
  </si>
  <si>
    <t>Paul Patterson, Idaho Falls R&amp;E Center, Suite 205, Idaho Falls, ID 83402-1575</t>
  </si>
  <si>
    <t>Each crop costs and returns estimate or enterprise budget is contained in a separate sheet.  There is also a blank sheet that will allow the user to create an enterprise budget from scratch.  Data entry is made in the white cells.  Existing data in these cells can be modified or deleted.  In general, the light green cells contain formulas and the light blue cells are labels or borders.  Each budget sheet is protected and the shaded (colored) cells are locked so that the user can not unintentionally over write a formula.  In order to add or delete a row or to change labels in the colored cells, the sheet must be unprotected using Tools - Protection (Protect Sheet - Unprotect Sheet) option.</t>
  </si>
  <si>
    <t>There are limitations to what this program can do.  It is not designed to provide the detailed calculations associated with a full scale budget generator, such as that used to create the University of Idaho's enterprise budgets.  The limitations are mainly in calculating machinery operating costs and calculating ownership costs for machinery and equipment.</t>
  </si>
  <si>
    <t>Repairs and fuel expenses are often tracked only on a whole farm.  The values found on a 1040 Schedule F can be allocated equally per acre, or a simple weighting scheme can be used.  For example a crop like potatoes should get a bigger percentage of the per acre fuel and repair costs than wheat.</t>
  </si>
  <si>
    <t>Machinery and Equipment Values for Lease Agreements and Enterprise Budgets</t>
  </si>
  <si>
    <t>Market</t>
  </si>
  <si>
    <t>Purchase</t>
  </si>
  <si>
    <t>Salvage</t>
  </si>
  <si>
    <t>Useful</t>
  </si>
  <si>
    <t>Remaining</t>
  </si>
  <si>
    <t>Insurance</t>
  </si>
  <si>
    <t>Interest</t>
  </si>
  <si>
    <t>%</t>
  </si>
  <si>
    <t>Value</t>
  </si>
  <si>
    <t>Life</t>
  </si>
  <si>
    <t>Rate</t>
  </si>
  <si>
    <t>Utilization</t>
  </si>
  <si>
    <t>Tractor</t>
  </si>
  <si>
    <t>Disk</t>
  </si>
  <si>
    <t>Plow</t>
  </si>
  <si>
    <t>CalculatedMachinery and Equipment Values for Lease Agreements and Enterprise Budgets.</t>
  </si>
  <si>
    <t>Scroll to bottom of table to see totals</t>
  </si>
  <si>
    <t>Annual</t>
  </si>
  <si>
    <t xml:space="preserve">Annual </t>
  </si>
  <si>
    <t>SL</t>
  </si>
  <si>
    <t>Depreciated</t>
  </si>
  <si>
    <t>Average</t>
  </si>
  <si>
    <t>Depreciaton</t>
  </si>
  <si>
    <t>Depreciation</t>
  </si>
  <si>
    <t>Investment</t>
  </si>
  <si>
    <t>Cost or</t>
  </si>
  <si>
    <t>Acres:</t>
  </si>
  <si>
    <t>Reglone</t>
  </si>
  <si>
    <t>Transloading Costs</t>
  </si>
  <si>
    <t>Wheat Seed: SWW</t>
  </si>
  <si>
    <t>qt</t>
  </si>
  <si>
    <t>pail</t>
  </si>
  <si>
    <t>Transloading Equipment</t>
  </si>
  <si>
    <t>Roundup Original Max</t>
  </si>
  <si>
    <t>Poast 1.5EC</t>
  </si>
  <si>
    <t>Sonalan HFP</t>
  </si>
  <si>
    <t>Vapam 42%</t>
  </si>
  <si>
    <t>Counter 15G L-N-L</t>
  </si>
  <si>
    <t>Bean Seed: Commercial Pinto</t>
  </si>
  <si>
    <t>Corn Seed: Conventional Field</t>
  </si>
  <si>
    <t>Onion Seed Pellets: Yellow</t>
  </si>
  <si>
    <t>(208) 529-8376, or emailed to pattersn@uidaho.edu</t>
  </si>
  <si>
    <t>Custom Cut/Windrow</t>
  </si>
  <si>
    <t>G-3 Burbank Potato Seed</t>
  </si>
  <si>
    <t>Treflan 4HFP</t>
  </si>
  <si>
    <t>Custom Swath &amp; Rake</t>
  </si>
  <si>
    <t>Machinery:</t>
  </si>
  <si>
    <t>Fuel - Gas</t>
  </si>
  <si>
    <t>Fuel - Diesel</t>
  </si>
  <si>
    <t>Lube</t>
  </si>
  <si>
    <t>Labor (other)</t>
  </si>
  <si>
    <t>Storage:</t>
  </si>
  <si>
    <t>Labor:</t>
  </si>
  <si>
    <t>Labor (machine)</t>
  </si>
  <si>
    <t>Labor (irrigation - CD)</t>
  </si>
  <si>
    <t>Labor (irrigation - cd)</t>
  </si>
  <si>
    <t>Transloading Equipment Repair</t>
  </si>
  <si>
    <t>Irrigation Repairs-CP</t>
  </si>
  <si>
    <t>The sheets Mach_Input and Mach_Output can be used to calculate ownership costs for machinery and equipment, including annual charges for depreciation, interest and insurance.  This can be done for an individual piece of equipment or for all equipment used in that enterprise.  The "utilization" factor can be adjusted for each crop.  If all the equipment on the farm is entered in Mach_Input, simply change the utilization factor to get the appropriate enterprise specific values for depreciation, interest and insurance.  The machinery information is entered in Mach_Input.  Information needed includes: the name of the item, market value, purchase price, savage value, years of useful life, remaining life in years, insurance rate, interest rate and the percent utilization factor.  Calculated values are found in Mach_Output.  These values can then be calculated on a per acre basis by entering the number of acres in cell C35.  These values can then be entered in the appropriate enterprise.</t>
  </si>
  <si>
    <t>The abbreviated labels on the sheet tabs are similar to the publication number assigned to the published enterprise budgets.  The first two or three letters indicate the area of the state.  These include: NI for Northern Idaho, WI for Western Idaho (Treasure Valley), SCI for Southcentral Idaho (Magic Valley), CI for Central Idaho (Blaine, Lincoln, Butte, Custer and Lehmi counties) and EI for Eastern Idaho (Upper and Lower Snake River Valleys).  The second series of letters is an abbreviation for the crop name.  In general, the first two letters of the crop are used, i.e. Po for potato, or the first letter of each word when the crop name has two words, i.e. MB for malting barley.   The last two numbers indicate the year these costs were collected, i.e. 07 for 2007.  Crop budgets are revised and published on a biennial basis in odd-numbered years.</t>
  </si>
  <si>
    <r>
      <t xml:space="preserve">The purpose of this spreadsheet is to allow the user to access the crop costs and returns  (CAR) estimates--or enterprise budgets--available from the University of Idaho and to modify these estimates to fit the user's situation.  The crop costs and returns estimates published by the University of Idaho are representative for that crop and area. They are </t>
    </r>
    <r>
      <rPr>
        <sz val="10"/>
        <color indexed="10"/>
        <rFont val="Arial"/>
        <family val="2"/>
      </rPr>
      <t xml:space="preserve">not </t>
    </r>
    <r>
      <rPr>
        <sz val="10"/>
        <rFont val="Arial"/>
        <family val="0"/>
      </rPr>
      <t xml:space="preserve">the average cost of production for a crop and area.  More information is available on the background and assumption page provided with the published budgets.  These are available in all county Extension offices and are available on the Internet at http://www.ag.uidaho.edu/aers The crops costs and returns are developed for different geographic regions of the state.  This spreadsheet contains the </t>
    </r>
    <r>
      <rPr>
        <sz val="10"/>
        <color indexed="12"/>
        <rFont val="Arial"/>
        <family val="2"/>
      </rPr>
      <t>irrigated</t>
    </r>
    <r>
      <rPr>
        <sz val="10"/>
        <rFont val="Arial"/>
        <family val="0"/>
      </rPr>
      <t xml:space="preserve"> crop costs and returns estimates for </t>
    </r>
    <r>
      <rPr>
        <sz val="10"/>
        <color indexed="12"/>
        <rFont val="Arial"/>
        <family val="2"/>
      </rPr>
      <t>southwestern Idaho</t>
    </r>
    <r>
      <rPr>
        <sz val="10"/>
        <rFont val="Arial"/>
        <family val="0"/>
      </rPr>
      <t>.</t>
    </r>
  </si>
  <si>
    <t xml:space="preserve">There are two issues that users should be aware of regarding crops with multiple products, i.e. a barley crop where both the straw and the grain are harvested, or when a nurse crop is planted when a perennial crop is established.  When multiple products are produced and listed in a budget, the breakeven values per unit of production (i.e. bushel, ton, etc.) will not work properly.  There is a similar problem with the sensitivity analysis on the second page of the sheet.  The enterprise budget sheets and the blank sheet are set up to list only one product.  If a second product is added, the breakeven analysis will no longer be valid. </t>
  </si>
  <si>
    <t>Publication No.</t>
  </si>
  <si>
    <t>Crop</t>
  </si>
  <si>
    <t>Authors</t>
  </si>
  <si>
    <t>Field Corn</t>
  </si>
  <si>
    <t xml:space="preserve">Russet Burbank Potatoes: Fumigation &amp; No Storage </t>
  </si>
  <si>
    <t>Paul E. Patterson</t>
  </si>
  <si>
    <t>Feed Barley</t>
  </si>
  <si>
    <t>Soft White Spring Wheat</t>
  </si>
  <si>
    <t>Soft White Winter Wheat</t>
  </si>
  <si>
    <t xml:space="preserve">Paul Patterson. </t>
  </si>
  <si>
    <t>Extension Agricultural Economist, University of Idaho</t>
  </si>
  <si>
    <t>pattersn@uidaho.edu</t>
  </si>
  <si>
    <t>Neil Rimbey</t>
  </si>
  <si>
    <t>Extension Range Economist, University of Idaho</t>
  </si>
  <si>
    <t>nrimbey@uidaho.edu</t>
  </si>
  <si>
    <t>Mike Thornton</t>
  </si>
  <si>
    <t>Superintendent, Southwest Idaho R&amp;E Centers</t>
  </si>
  <si>
    <t>miket@uidaho.edu</t>
  </si>
  <si>
    <t>Scott Jensen</t>
  </si>
  <si>
    <t>Extension Educator, Owyhee County</t>
  </si>
  <si>
    <t>scottj@uidaho.edu</t>
  </si>
  <si>
    <t>Jerry Neufeld</t>
  </si>
  <si>
    <t>Extension Educator, Canyon County</t>
  </si>
  <si>
    <t>jerryn@uidaho.edu</t>
  </si>
  <si>
    <t>Transload:</t>
  </si>
  <si>
    <t>Lynn Jensen</t>
  </si>
  <si>
    <t>OSU Potato &amp; Onion Specialist, Malheur County, Oregon</t>
  </si>
  <si>
    <t>lynn.jensen@oregonstate.edu</t>
  </si>
  <si>
    <t>fl oz</t>
  </si>
  <si>
    <t>Success  (2x)</t>
  </si>
  <si>
    <t>Lannate LV  (3x)</t>
  </si>
  <si>
    <t>Carzol</t>
  </si>
  <si>
    <t>Dithane 75DF Rainshield</t>
  </si>
  <si>
    <t>Quadris</t>
  </si>
  <si>
    <t>Custom Air 5G</t>
  </si>
  <si>
    <t>Buctril 2EC (2x)</t>
  </si>
  <si>
    <t>Pristine</t>
  </si>
  <si>
    <t>Onions - marketable</t>
  </si>
  <si>
    <t>Prowl H2O (2x)</t>
  </si>
  <si>
    <t>Lorsban 15G</t>
  </si>
  <si>
    <t>AZA-Direct (2x)</t>
  </si>
  <si>
    <t>Storage Operating Costs</t>
  </si>
  <si>
    <t>pt</t>
  </si>
  <si>
    <t>Custom Chop, Haul &amp; Pack</t>
  </si>
  <si>
    <t>Roundup Power Max</t>
  </si>
  <si>
    <t>Custom Fumigate - Deep</t>
  </si>
  <si>
    <t>Potatoes: In-Weight</t>
  </si>
  <si>
    <t>Micronutrients &amp; Foliars</t>
  </si>
  <si>
    <t>Irrigation Power-CP *</t>
  </si>
  <si>
    <t>Irrigation Repairs-CP *</t>
  </si>
  <si>
    <t>Labor (irrigation - cp) *</t>
  </si>
  <si>
    <t>* Center pivot.     ** Includes irrigation system ownership costs.</t>
  </si>
  <si>
    <t>Potatoes: Storage</t>
  </si>
  <si>
    <t>Potato Storage System</t>
  </si>
  <si>
    <t>RUR Sugarbeets</t>
  </si>
  <si>
    <t>Technology Fee</t>
  </si>
  <si>
    <t>Telone II</t>
  </si>
  <si>
    <t>AMS</t>
  </si>
  <si>
    <t>Eptam 7EC</t>
  </si>
  <si>
    <t>Gem 25WG</t>
  </si>
  <si>
    <t>Harmony Extra XP</t>
  </si>
  <si>
    <t>Wheat: SWS</t>
  </si>
  <si>
    <t>Wheat: SWW</t>
  </si>
  <si>
    <t xml:space="preserve">Russet Burbank: Fumigation &amp; On-Farm Storage </t>
  </si>
  <si>
    <t>Paul Patterson &amp; Neil Rimbey</t>
  </si>
  <si>
    <t>Dithane F45 Rainshield</t>
  </si>
  <si>
    <t>pint</t>
  </si>
  <si>
    <t>bag</t>
  </si>
  <si>
    <t>Goal 2XL  (2x)</t>
  </si>
  <si>
    <t>RUR Beet Seed: Raw Coated</t>
  </si>
  <si>
    <t>Bronate Advanced (2.5 lb)</t>
  </si>
  <si>
    <t>Starane Ultra</t>
  </si>
  <si>
    <t>K-Pam</t>
  </si>
  <si>
    <t>Prowl 3.3EC</t>
  </si>
  <si>
    <t>Asana XL</t>
  </si>
  <si>
    <t>Consultant/Soil Test</t>
  </si>
  <si>
    <t>Admire Pro</t>
  </si>
  <si>
    <t>Custom Fumigate: Deep Inj.</t>
  </si>
  <si>
    <t>Storage System Repairs</t>
  </si>
  <si>
    <t>Storage and cleaning</t>
  </si>
  <si>
    <t>Final 11/10/2009</t>
  </si>
  <si>
    <t>Dual Magnum 7.64EC</t>
  </si>
  <si>
    <t>Roundup Ready Corn Seed</t>
  </si>
  <si>
    <t>Ammonium Sulfate</t>
  </si>
  <si>
    <t>Micro-Tech</t>
  </si>
  <si>
    <t>36,000 seed kernels, 30" rows</t>
  </si>
  <si>
    <t>38,000 seed kernels, 30" rows</t>
  </si>
  <si>
    <t>Affinity Broadspec 50SG</t>
  </si>
  <si>
    <t>Non-ionic Surfactant + UAN</t>
  </si>
  <si>
    <t>Velpar Alfamax</t>
  </si>
  <si>
    <t>Headline</t>
  </si>
  <si>
    <t>Poncho Beta Seed Treatment</t>
  </si>
  <si>
    <t>Roundup Ready Corn Silage</t>
  </si>
  <si>
    <t>Roundup Ready Field Corn</t>
  </si>
  <si>
    <t>Roundup Ready Sugarbeets</t>
  </si>
  <si>
    <t>Price/unit</t>
  </si>
  <si>
    <t>Category</t>
  </si>
  <si>
    <t>Fuel:</t>
  </si>
  <si>
    <t>Custom Rental:</t>
  </si>
  <si>
    <t>acre</t>
  </si>
  <si>
    <r>
      <t>Crop Insurance</t>
    </r>
    <r>
      <rPr>
        <b/>
        <vertAlign val="superscript"/>
        <sz val="10"/>
        <rFont val="Arial"/>
        <family val="2"/>
      </rPr>
      <t>1</t>
    </r>
    <r>
      <rPr>
        <b/>
        <sz val="10"/>
        <rFont val="Arial"/>
        <family val="2"/>
      </rPr>
      <t>:</t>
    </r>
  </si>
  <si>
    <r>
      <t>Labor</t>
    </r>
    <r>
      <rPr>
        <b/>
        <vertAlign val="superscript"/>
        <sz val="10"/>
        <rFont val="Arial"/>
        <family val="2"/>
      </rPr>
      <t>2</t>
    </r>
    <r>
      <rPr>
        <b/>
        <sz val="10"/>
        <rFont val="Arial"/>
        <family val="2"/>
      </rPr>
      <t>:</t>
    </r>
  </si>
  <si>
    <t>hour</t>
  </si>
  <si>
    <t>Overhead:</t>
  </si>
  <si>
    <r>
      <t>Overhead</t>
    </r>
    <r>
      <rPr>
        <vertAlign val="superscript"/>
        <sz val="10"/>
        <rFont val="Arial"/>
        <family val="2"/>
      </rPr>
      <t>3</t>
    </r>
  </si>
  <si>
    <t>percent</t>
  </si>
  <si>
    <t>Management fee:</t>
  </si>
  <si>
    <r>
      <t>Management fee</t>
    </r>
    <r>
      <rPr>
        <vertAlign val="superscript"/>
        <sz val="10"/>
        <rFont val="Arial"/>
        <family val="2"/>
      </rPr>
      <t>4</t>
    </r>
  </si>
  <si>
    <t>Cash rent:</t>
  </si>
  <si>
    <t>Cash rent</t>
  </si>
  <si>
    <t>Land Tax:</t>
  </si>
  <si>
    <t>Land Tax</t>
  </si>
  <si>
    <t>Interest:</t>
  </si>
  <si>
    <t>Operating Loan</t>
  </si>
  <si>
    <t>Machinery Loan/investment</t>
  </si>
  <si>
    <r>
      <rPr>
        <vertAlign val="superscript"/>
        <sz val="10"/>
        <rFont val="Arial"/>
        <family val="2"/>
      </rPr>
      <t>1</t>
    </r>
    <r>
      <rPr>
        <sz val="10"/>
        <rFont val="Arial"/>
        <family val="2"/>
      </rPr>
      <t xml:space="preserve">Crop insurance estimates include multi-peril crop insurance covering 85% of production for most </t>
    </r>
  </si>
  <si>
    <t>crops (with the exception of 75% for pulses) plus fire and hail insurance.</t>
  </si>
  <si>
    <r>
      <rPr>
        <vertAlign val="superscript"/>
        <sz val="10"/>
        <rFont val="Arial"/>
        <family val="2"/>
      </rPr>
      <t>2</t>
    </r>
    <r>
      <rPr>
        <sz val="10"/>
        <rFont val="Arial"/>
        <family val="2"/>
      </rPr>
      <t>Includes all applicable state and federal taxes.</t>
    </r>
  </si>
  <si>
    <r>
      <rPr>
        <vertAlign val="superscript"/>
        <sz val="10"/>
        <rFont val="Arial"/>
        <family val="2"/>
      </rPr>
      <t>3</t>
    </r>
    <r>
      <rPr>
        <sz val="10"/>
        <rFont val="Arial"/>
        <family val="2"/>
      </rPr>
      <t>Covers legal, accounting, and utility fees. Calculated as percentage of operating expenses.</t>
    </r>
  </si>
  <si>
    <t>Fuel-Road Diesel</t>
  </si>
  <si>
    <t>Fuel-Road Disel</t>
  </si>
  <si>
    <t xml:space="preserve">Alfalfa seed </t>
  </si>
  <si>
    <t>Alfalfa Seed</t>
  </si>
  <si>
    <t xml:space="preserve">Alfalfa seed establishment </t>
  </si>
  <si>
    <t xml:space="preserve"> Dual II Magnum 7.64EC </t>
  </si>
  <si>
    <t xml:space="preserve">pt </t>
  </si>
  <si>
    <t xml:space="preserve"> Sonalan HFP </t>
  </si>
  <si>
    <t xml:space="preserve"> Prowl 3.3EC </t>
  </si>
  <si>
    <t xml:space="preserve"> Brigade </t>
  </si>
  <si>
    <t xml:space="preserve">oz </t>
  </si>
  <si>
    <t xml:space="preserve"> Beleaf 50SG </t>
  </si>
  <si>
    <t xml:space="preserve"> Rimon 0.83EC </t>
  </si>
  <si>
    <t xml:space="preserve">fl oz </t>
  </si>
  <si>
    <t xml:space="preserve"> Onager </t>
  </si>
  <si>
    <t xml:space="preserve"> Thiodan 2EC </t>
  </si>
  <si>
    <t xml:space="preserve">qt </t>
  </si>
  <si>
    <t xml:space="preserve"> Warrior </t>
  </si>
  <si>
    <t xml:space="preserve"> Dibrom 8E </t>
  </si>
  <si>
    <t xml:space="preserve"> Gramoxone Inteon </t>
  </si>
  <si>
    <t xml:space="preserve"> Custom Ground Spray </t>
  </si>
  <si>
    <t xml:space="preserve"> Scouting </t>
  </si>
  <si>
    <t xml:space="preserve"> Custom Air Spray - 5 gal. </t>
  </si>
  <si>
    <t>Alfalfa Seed Commission</t>
  </si>
  <si>
    <t>Leaf cutter bees</t>
  </si>
  <si>
    <t>Alfalfa Seed (pvt)-innoculated</t>
  </si>
  <si>
    <t>Boron</t>
  </si>
  <si>
    <t>Sulfur (liquid)</t>
  </si>
  <si>
    <t>Fuel-Diesel</t>
  </si>
  <si>
    <t>Fuel-Gas</t>
  </si>
  <si>
    <t xml:space="preserve">Soft White Winter Wheat </t>
  </si>
  <si>
    <t xml:space="preserve">Soft White Spring Wheat </t>
  </si>
  <si>
    <t>Roundup Ready corn</t>
  </si>
  <si>
    <t>Corn seed, Conventional field</t>
  </si>
  <si>
    <t>Onion Seed yellow (coated-pellet)</t>
  </si>
  <si>
    <t>Feed Barley, Spring</t>
  </si>
  <si>
    <t>Zinc Sulfate</t>
  </si>
  <si>
    <t>Input Prices</t>
  </si>
  <si>
    <t>Phosphate, dry</t>
  </si>
  <si>
    <t>Custom Combine Grain</t>
  </si>
  <si>
    <t>Custom Combine Corn</t>
  </si>
  <si>
    <t>Custom Combine Dry Bean</t>
  </si>
  <si>
    <t>Truck driver labor</t>
  </si>
  <si>
    <t>Potato Seed Treatment</t>
  </si>
  <si>
    <t>Seed Cutting</t>
  </si>
  <si>
    <t>Quadris Flowable</t>
  </si>
  <si>
    <t>Eptam 7E</t>
  </si>
  <si>
    <t>Sencor 75DF</t>
  </si>
  <si>
    <t>Bravo Weather Stik</t>
  </si>
  <si>
    <t>Leverage 2.7</t>
  </si>
  <si>
    <t>Fuel - Road Diesel</t>
  </si>
  <si>
    <t>Labor (truck driver)</t>
  </si>
  <si>
    <t>Labor (general farm)</t>
  </si>
  <si>
    <t>Property Taxes</t>
  </si>
  <si>
    <t>Endura</t>
  </si>
  <si>
    <t>Labor( truck driver)</t>
  </si>
  <si>
    <t>Labor (non-machine)</t>
  </si>
  <si>
    <t>Kate Painter, Agricultural Economics &amp; Rural Sociology, PO Box 442334, Moscow, ID 83844-2334</t>
  </si>
  <si>
    <t>(208) 885-6041, or emailed to kpainter@uidaho.edu</t>
  </si>
  <si>
    <t>Questions, comments and suggestions about this spreadsheet can be sent to:</t>
  </si>
  <si>
    <t>Kate Painter</t>
  </si>
  <si>
    <t>Farm Management Specialist, University of Idaho</t>
  </si>
  <si>
    <t>kpainter@uidaho.edu</t>
  </si>
  <si>
    <t>Jerry Neufeld, Neil Rimbey, Kate Painter &amp; Paul Patterson</t>
  </si>
  <si>
    <t>Scott Jensen, Neil Rimbey, Kate Painter &amp; Paul Patterson</t>
  </si>
  <si>
    <t>Neil Rimbey, Jerry Neufeld, Kate Painter &amp; Paul Patterson</t>
  </si>
  <si>
    <t>Neil Rimbey, Scott Jensen, Kate Painter &amp; Paul Patterson</t>
  </si>
  <si>
    <t>Kate Painter, Neil Rimbey &amp; Jerry Neufeld</t>
  </si>
  <si>
    <t>Equipment Capital Recovery</t>
  </si>
  <si>
    <t>Property Insurance</t>
  </si>
  <si>
    <t>Table 1. 2011 Irrigated Sugarbeets, Southwestern Idaho.</t>
  </si>
  <si>
    <t>Table 1. 2011 Southwestern Idaho Irrigated Russet Burbank Commercial Potatoes: With Fumigation and On-Farm Storage.</t>
  </si>
  <si>
    <t>Table 1. 2011 Southwestern Idaho Irrigated Russet Burbank Commercial Potatoes: With Fumigation and No Storage.</t>
  </si>
  <si>
    <t>Onion Seed white (coated-pellet)</t>
  </si>
  <si>
    <t>Sulfur (dry)</t>
  </si>
  <si>
    <r>
      <t>K</t>
    </r>
    <r>
      <rPr>
        <vertAlign val="subscript"/>
        <sz val="10"/>
        <rFont val="Arial"/>
        <family val="2"/>
      </rPr>
      <t>2</t>
    </r>
    <r>
      <rPr>
        <sz val="10"/>
        <rFont val="Arial"/>
        <family val="2"/>
      </rPr>
      <t>0</t>
    </r>
  </si>
  <si>
    <t xml:space="preserve">Custom Ground Spray </t>
  </si>
  <si>
    <t xml:space="preserve">Custom Air Spray - 5 gal. </t>
  </si>
  <si>
    <t>Custom Fertilize: Row Crops</t>
  </si>
  <si>
    <t>Irrigation Repairs, concrete ditch</t>
  </si>
  <si>
    <t>Custom Haul, Stack</t>
  </si>
  <si>
    <t>Hand Weed (onions)</t>
  </si>
  <si>
    <t>Custom Cut/Windrow (dry beans)</t>
  </si>
  <si>
    <t>Buctril 2EC</t>
  </si>
  <si>
    <t xml:space="preserve">Dual II Magnum 7.64EC </t>
  </si>
  <si>
    <t xml:space="preserve">Gramoxone Inteon </t>
  </si>
  <si>
    <t xml:space="preserve">Dibrom 8E </t>
  </si>
  <si>
    <t xml:space="preserve">Brigade </t>
  </si>
  <si>
    <t xml:space="preserve">Beleaf 50SG </t>
  </si>
  <si>
    <t xml:space="preserve">Thiodan 2EC </t>
  </si>
  <si>
    <t xml:space="preserve">2,4-DB </t>
  </si>
  <si>
    <t>AZA-Direct</t>
  </si>
  <si>
    <t xml:space="preserve">Goal 2XL </t>
  </si>
  <si>
    <t>Harmony Extra SG w/ Total Sol</t>
  </si>
  <si>
    <t>Lannate LV</t>
  </si>
  <si>
    <t xml:space="preserve">Onager </t>
  </si>
  <si>
    <t xml:space="preserve">Prowl 3.3EC </t>
  </si>
  <si>
    <t xml:space="preserve">Raptor </t>
  </si>
  <si>
    <t xml:space="preserve">Rimon 0.83EC </t>
  </si>
  <si>
    <t>Success</t>
  </si>
  <si>
    <t>Warrior ll with Zeon Technology</t>
  </si>
  <si>
    <t>Labor (irrigation - concrete ditch)</t>
  </si>
  <si>
    <r>
      <rPr>
        <vertAlign val="superscript"/>
        <sz val="10"/>
        <rFont val="Arial"/>
        <family val="2"/>
      </rPr>
      <t>4</t>
    </r>
    <r>
      <rPr>
        <sz val="10"/>
        <rFont val="Arial"/>
        <family val="2"/>
      </rPr>
      <t>Calculated as a percentage of total costs.</t>
    </r>
  </si>
  <si>
    <t>Table 1. 2013 Irrigated Dry Beans Southwestern Idaho.</t>
  </si>
  <si>
    <t>Operating Interest @ 5.75%</t>
  </si>
  <si>
    <t>Table 1. 2013 Irrigated Roundup Ready Corn Silage Southwestern Idaho.</t>
  </si>
  <si>
    <t>Roundup Power Max 4.5</t>
  </si>
  <si>
    <t>Table 1. 2013 Irrigated Field Corn Southwestern Idaho.</t>
  </si>
  <si>
    <t>Roundup Power Max (2x)</t>
  </si>
  <si>
    <t>Prowl H2O</t>
  </si>
  <si>
    <t>Prime, Treat &amp; Coat</t>
  </si>
  <si>
    <t>quarts</t>
  </si>
  <si>
    <t>2013 Southwestern Idaho (Treasure Valley) Irrigated Crop Costs and Returns</t>
  </si>
  <si>
    <t>EBB2-DB-13</t>
  </si>
  <si>
    <t>EBB2-CS-13</t>
  </si>
  <si>
    <t>EBB2-FC-13</t>
  </si>
  <si>
    <t>EBB2-On-13</t>
  </si>
  <si>
    <t>EBB2-Po1-13</t>
  </si>
  <si>
    <t>EBB2-FB-13</t>
  </si>
  <si>
    <t>EBB2-SWS-13</t>
  </si>
  <si>
    <t>EBB2-SWW-13</t>
  </si>
  <si>
    <t>EBB2-AH-13</t>
  </si>
  <si>
    <t>EBB2-AS-13</t>
  </si>
  <si>
    <t>EBB2-ASE-13</t>
  </si>
  <si>
    <t>EBB2-Po3-13</t>
  </si>
  <si>
    <t>EBB2-Su-13</t>
  </si>
  <si>
    <t>Mike Thornton, Paul Patterson, Kate Painter &amp; Neil Rimbey</t>
  </si>
  <si>
    <t>Crop Cost of Production Worksheet: Version 1.6 February 26. 2014</t>
  </si>
  <si>
    <t>Table 1. 2013 Irrigated Onions, Southwestern Idaho.</t>
  </si>
  <si>
    <t>Table 1. 2013 Irrigated Alfalfa Hay: Southwestern Idaho.</t>
  </si>
  <si>
    <t>Table 1. 2013 Irrigated Alfalfa Seed: Southwestern Idaho.</t>
  </si>
  <si>
    <t>Crop Oil Contentrate</t>
  </si>
  <si>
    <t>Table 1. 2013 Irrigated Feed Barley: Southwestern Idaho.</t>
  </si>
  <si>
    <t>Table 1. 2013 Irrigated Soft White Spring Wheat Southwestern Idaho.</t>
  </si>
  <si>
    <t>Table 1. 2013 Irrigated Soft White Winter Wheat Southwestern Idaho.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</si>
</sst>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quot;$&quot;#,##0.00"/>
    <numFmt numFmtId="174" formatCode="&quot;$&quot;#,##0"/>
    <numFmt numFmtId="175" formatCode="0.0%"/>
    <numFmt numFmtId="176" formatCode="0.00000"/>
    <numFmt numFmtId="177" formatCode="0.0000"/>
    <numFmt numFmtId="178" formatCode="0.000"/>
    <numFmt numFmtId="179" formatCode="&quot;$&quot;#,##0.000"/>
    <numFmt numFmtId="180" formatCode="[$-409]dddd\,\ mmmm\ dd\,\ yyyy"/>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_(* #,##0_);_(* \(#,##0\);_(* &quot;-&quot;??_);_(@_)"/>
  </numFmts>
  <fonts count="61">
    <font>
      <sz val="10"/>
      <name val="Arial"/>
      <family val="0"/>
    </font>
    <font>
      <sz val="12"/>
      <name val="Arial"/>
      <family val="2"/>
    </font>
    <font>
      <u val="single"/>
      <sz val="10"/>
      <name val="Arial"/>
      <family val="2"/>
    </font>
    <font>
      <b/>
      <u val="single"/>
      <sz val="10"/>
      <name val="Arial"/>
      <family val="2"/>
    </font>
    <font>
      <sz val="11"/>
      <name val="Arial"/>
      <family val="2"/>
    </font>
    <font>
      <u val="single"/>
      <sz val="10"/>
      <color indexed="12"/>
      <name val="Arial"/>
      <family val="2"/>
    </font>
    <font>
      <u val="single"/>
      <sz val="10"/>
      <color indexed="36"/>
      <name val="Arial"/>
      <family val="2"/>
    </font>
    <font>
      <sz val="10"/>
      <color indexed="10"/>
      <name val="Arial"/>
      <family val="2"/>
    </font>
    <font>
      <sz val="10"/>
      <color indexed="12"/>
      <name val="Arial"/>
      <family val="2"/>
    </font>
    <font>
      <u val="single"/>
      <sz val="12"/>
      <name val="Arial"/>
      <family val="2"/>
    </font>
    <font>
      <b/>
      <sz val="10"/>
      <name val="Arial"/>
      <family val="2"/>
    </font>
    <font>
      <sz val="10"/>
      <color indexed="11"/>
      <name val="Arial"/>
      <family val="2"/>
    </font>
    <font>
      <b/>
      <sz val="12"/>
      <name val="Arial"/>
      <family val="2"/>
    </font>
    <font>
      <b/>
      <vertAlign val="superscript"/>
      <sz val="10"/>
      <name val="Arial"/>
      <family val="2"/>
    </font>
    <font>
      <vertAlign val="superscript"/>
      <sz val="10"/>
      <name val="Arial"/>
      <family val="2"/>
    </font>
    <font>
      <u val="single"/>
      <sz val="11"/>
      <color indexed="12"/>
      <name val="Arial"/>
      <family val="2"/>
    </font>
    <font>
      <sz val="11"/>
      <name val="Calibri"/>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30"/>
      <name val="Arial"/>
      <family val="2"/>
    </font>
    <font>
      <sz val="10"/>
      <color indexed="48"/>
      <name val="Arial"/>
      <family val="2"/>
    </font>
    <font>
      <b/>
      <sz val="10"/>
      <color indexed="10"/>
      <name val="Arial"/>
      <family val="2"/>
    </font>
    <font>
      <i/>
      <sz val="11"/>
      <color indexed="23"/>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i/>
      <sz val="11"/>
      <color rgb="FF7F7F7F"/>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0"/>
      <color rgb="FF0070C0"/>
      <name val="Arial"/>
      <family val="2"/>
    </font>
    <font>
      <sz val="10"/>
      <color rgb="FF0033CC"/>
      <name val="Arial"/>
      <family val="2"/>
    </font>
    <font>
      <sz val="10"/>
      <color rgb="FF3333FF"/>
      <name val="Arial"/>
      <family val="2"/>
    </font>
    <font>
      <b/>
      <sz val="10"/>
      <color rgb="FFFF33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CC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top/>
      <bottom/>
    </border>
    <border>
      <left/>
      <right style="thin"/>
      <top/>
      <bottom/>
    </border>
    <border>
      <left style="thin"/>
      <right/>
      <top/>
      <bottom style="thin"/>
    </border>
    <border>
      <left/>
      <right style="thin"/>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5">
    <xf numFmtId="0" fontId="0" fillId="0" borderId="0" xfId="0"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ill="1" applyAlignment="1">
      <alignment/>
    </xf>
    <xf numFmtId="0" fontId="0" fillId="34" borderId="0" xfId="0" applyFill="1" applyAlignment="1">
      <alignment/>
    </xf>
    <xf numFmtId="0" fontId="0" fillId="34" borderId="10" xfId="0" applyFill="1" applyBorder="1" applyAlignment="1">
      <alignment/>
    </xf>
    <xf numFmtId="0" fontId="0" fillId="34" borderId="0" xfId="0" applyFill="1" applyBorder="1" applyAlignment="1">
      <alignment/>
    </xf>
    <xf numFmtId="0" fontId="0" fillId="34" borderId="10" xfId="0" applyFill="1" applyBorder="1" applyAlignment="1">
      <alignment horizontal="center"/>
    </xf>
    <xf numFmtId="0" fontId="1" fillId="34" borderId="0" xfId="0" applyFont="1" applyFill="1" applyAlignment="1">
      <alignment/>
    </xf>
    <xf numFmtId="0" fontId="1" fillId="34" borderId="0" xfId="0" applyFont="1" applyFill="1" applyAlignment="1">
      <alignment horizontal="center"/>
    </xf>
    <xf numFmtId="0" fontId="0" fillId="0" borderId="0" xfId="0" applyAlignment="1">
      <alignment horizontal="center"/>
    </xf>
    <xf numFmtId="0" fontId="9" fillId="34" borderId="0" xfId="0" applyFont="1" applyFill="1" applyAlignment="1">
      <alignment/>
    </xf>
    <xf numFmtId="0" fontId="0" fillId="34" borderId="0" xfId="0" applyFill="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0" fillId="0" borderId="0" xfId="0" applyAlignment="1" applyProtection="1">
      <alignment horizontal="center"/>
      <protection locked="0"/>
    </xf>
    <xf numFmtId="10" fontId="0" fillId="0" borderId="0" xfId="0" applyNumberFormat="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1" fillId="0" borderId="0" xfId="0" applyFont="1" applyAlignment="1">
      <alignment/>
    </xf>
    <xf numFmtId="0" fontId="0" fillId="34" borderId="0" xfId="0" applyFill="1" applyBorder="1" applyAlignment="1">
      <alignment horizontal="center"/>
    </xf>
    <xf numFmtId="6" fontId="0" fillId="33" borderId="0" xfId="0" applyNumberFormat="1" applyFill="1" applyAlignment="1">
      <alignment horizontal="center"/>
    </xf>
    <xf numFmtId="0" fontId="0" fillId="33" borderId="10" xfId="0" applyFill="1" applyBorder="1" applyAlignment="1">
      <alignment horizontal="center"/>
    </xf>
    <xf numFmtId="6" fontId="0" fillId="33" borderId="10" xfId="0" applyNumberFormat="1" applyFill="1" applyBorder="1" applyAlignment="1">
      <alignment horizontal="center"/>
    </xf>
    <xf numFmtId="0" fontId="0" fillId="33" borderId="0" xfId="0" applyFill="1" applyAlignment="1">
      <alignment horizontal="center"/>
    </xf>
    <xf numFmtId="0" fontId="0" fillId="35" borderId="0" xfId="0" applyFill="1" applyAlignment="1">
      <alignment horizontal="center"/>
    </xf>
    <xf numFmtId="6" fontId="0" fillId="35" borderId="10" xfId="0" applyNumberFormat="1" applyFill="1" applyBorder="1" applyAlignment="1">
      <alignment horizontal="center"/>
    </xf>
    <xf numFmtId="49" fontId="0" fillId="0" borderId="0" xfId="0" applyNumberFormat="1" applyAlignment="1" applyProtection="1">
      <alignment/>
      <protection locked="0"/>
    </xf>
    <xf numFmtId="174" fontId="0" fillId="0" borderId="0" xfId="0" applyNumberFormat="1" applyAlignment="1" applyProtection="1">
      <alignment horizontal="center"/>
      <protection locked="0"/>
    </xf>
    <xf numFmtId="49" fontId="0" fillId="33" borderId="0" xfId="0" applyNumberFormat="1" applyFill="1" applyAlignment="1">
      <alignment/>
    </xf>
    <xf numFmtId="0" fontId="0" fillId="36" borderId="0" xfId="0" applyFill="1" applyAlignment="1">
      <alignment/>
    </xf>
    <xf numFmtId="0" fontId="0" fillId="36" borderId="0" xfId="0" applyFill="1" applyAlignment="1">
      <alignment horizontal="center"/>
    </xf>
    <xf numFmtId="0" fontId="0" fillId="36" borderId="0" xfId="0" applyFill="1" applyAlignment="1">
      <alignment horizontal="right"/>
    </xf>
    <xf numFmtId="8" fontId="0" fillId="35" borderId="0" xfId="0" applyNumberFormat="1" applyFill="1" applyAlignment="1">
      <alignment horizontal="center"/>
    </xf>
    <xf numFmtId="0" fontId="0" fillId="35" borderId="0" xfId="61" applyFont="1" applyFill="1" applyAlignment="1">
      <alignment horizontal="center"/>
      <protection/>
    </xf>
    <xf numFmtId="0" fontId="0" fillId="0" borderId="0" xfId="61">
      <alignment/>
      <protection/>
    </xf>
    <xf numFmtId="0" fontId="0" fillId="35" borderId="0" xfId="61" applyFill="1" applyAlignment="1">
      <alignment wrapText="1"/>
      <protection/>
    </xf>
    <xf numFmtId="0" fontId="0" fillId="35" borderId="0" xfId="61" applyFont="1" applyFill="1" applyAlignment="1">
      <alignment wrapText="1"/>
      <protection/>
    </xf>
    <xf numFmtId="0" fontId="2" fillId="0" borderId="0" xfId="0" applyFont="1" applyAlignment="1">
      <alignment/>
    </xf>
    <xf numFmtId="0" fontId="2" fillId="0" borderId="0" xfId="0" applyFont="1" applyAlignment="1">
      <alignment horizontal="center"/>
    </xf>
    <xf numFmtId="0" fontId="0" fillId="0" borderId="0" xfId="0" applyFont="1" applyAlignment="1">
      <alignment vertical="top"/>
    </xf>
    <xf numFmtId="0" fontId="0" fillId="0" borderId="0" xfId="0" applyFont="1" applyAlignment="1">
      <alignment wrapText="1"/>
    </xf>
    <xf numFmtId="0" fontId="0" fillId="0" borderId="0" xfId="0" applyFont="1" applyAlignment="1">
      <alignment/>
    </xf>
    <xf numFmtId="0" fontId="0" fillId="0" borderId="0" xfId="0" applyAlignment="1">
      <alignment vertical="top"/>
    </xf>
    <xf numFmtId="0" fontId="0" fillId="0" borderId="0" xfId="0" applyFont="1" applyAlignment="1">
      <alignment vertical="top" wrapText="1"/>
    </xf>
    <xf numFmtId="0" fontId="5" fillId="0" borderId="0" xfId="57" applyAlignment="1" applyProtection="1">
      <alignment/>
      <protection/>
    </xf>
    <xf numFmtId="0" fontId="9" fillId="0" borderId="0" xfId="0" applyFont="1" applyFill="1" applyAlignment="1">
      <alignment/>
    </xf>
    <xf numFmtId="0" fontId="0" fillId="0" borderId="10" xfId="61" applyBorder="1">
      <alignment/>
      <protection/>
    </xf>
    <xf numFmtId="0" fontId="0" fillId="0" borderId="10" xfId="61" applyBorder="1" applyAlignment="1">
      <alignment horizontal="center" vertical="center"/>
      <protection/>
    </xf>
    <xf numFmtId="0" fontId="0" fillId="0" borderId="10" xfId="61" applyFill="1" applyBorder="1">
      <alignment/>
      <protection/>
    </xf>
    <xf numFmtId="0" fontId="1" fillId="34" borderId="0" xfId="61" applyFont="1" applyFill="1">
      <alignment/>
      <protection/>
    </xf>
    <xf numFmtId="0" fontId="1" fillId="34" borderId="0" xfId="61" applyFont="1" applyFill="1" applyAlignment="1">
      <alignment horizontal="right"/>
      <protection/>
    </xf>
    <xf numFmtId="0" fontId="1" fillId="34" borderId="0" xfId="61" applyFont="1" applyFill="1" applyAlignment="1">
      <alignment horizontal="center"/>
      <protection/>
    </xf>
    <xf numFmtId="0" fontId="1" fillId="34" borderId="0" xfId="61" applyFont="1" applyFill="1" applyAlignment="1">
      <alignment horizontal="center" vertical="center"/>
      <protection/>
    </xf>
    <xf numFmtId="0" fontId="1" fillId="33" borderId="0" xfId="61" applyFont="1" applyFill="1" applyAlignment="1">
      <alignment horizontal="center"/>
      <protection/>
    </xf>
    <xf numFmtId="0" fontId="0" fillId="37" borderId="0" xfId="61" applyFill="1">
      <alignment/>
      <protection/>
    </xf>
    <xf numFmtId="0" fontId="1" fillId="34" borderId="0" xfId="61" applyFont="1" applyFill="1" applyBorder="1" applyAlignment="1">
      <alignment horizontal="center"/>
      <protection/>
    </xf>
    <xf numFmtId="0" fontId="0" fillId="34" borderId="10" xfId="61" applyFill="1" applyBorder="1" applyAlignment="1">
      <alignment horizontal="center"/>
      <protection/>
    </xf>
    <xf numFmtId="0" fontId="0" fillId="34" borderId="10" xfId="61" applyFill="1" applyBorder="1">
      <alignment/>
      <protection/>
    </xf>
    <xf numFmtId="0" fontId="0" fillId="34" borderId="10" xfId="61" applyFill="1" applyBorder="1" applyAlignment="1">
      <alignment horizontal="center" vertical="center"/>
      <protection/>
    </xf>
    <xf numFmtId="0" fontId="0" fillId="33" borderId="10" xfId="61" applyFill="1" applyBorder="1">
      <alignment/>
      <protection/>
    </xf>
    <xf numFmtId="0" fontId="0" fillId="37" borderId="10" xfId="61" applyFill="1" applyBorder="1">
      <alignment/>
      <protection/>
    </xf>
    <xf numFmtId="0" fontId="3" fillId="34" borderId="0" xfId="61" applyFont="1" applyFill="1" applyBorder="1">
      <alignment/>
      <protection/>
    </xf>
    <xf numFmtId="0" fontId="0" fillId="34" borderId="0" xfId="61" applyFill="1">
      <alignment/>
      <protection/>
    </xf>
    <xf numFmtId="0" fontId="0" fillId="34" borderId="0" xfId="61" applyFill="1" applyAlignment="1">
      <alignment horizontal="center" vertical="center"/>
      <protection/>
    </xf>
    <xf numFmtId="0" fontId="0" fillId="0" borderId="0" xfId="61" applyBorder="1" applyProtection="1">
      <alignment/>
      <protection locked="0"/>
    </xf>
    <xf numFmtId="0" fontId="0" fillId="34" borderId="0" xfId="61" applyFill="1" applyBorder="1">
      <alignment/>
      <protection/>
    </xf>
    <xf numFmtId="0" fontId="0" fillId="0" borderId="0" xfId="61" applyFont="1" applyBorder="1" applyAlignment="1" applyProtection="1">
      <alignment horizontal="center" vertical="center"/>
      <protection locked="0"/>
    </xf>
    <xf numFmtId="173" fontId="56" fillId="0" borderId="0" xfId="61" applyNumberFormat="1" applyFont="1" applyBorder="1" applyProtection="1">
      <alignment/>
      <protection locked="0"/>
    </xf>
    <xf numFmtId="173" fontId="0" fillId="33" borderId="0" xfId="61" applyNumberFormat="1" applyFill="1" applyBorder="1" applyProtection="1">
      <alignment/>
      <protection/>
    </xf>
    <xf numFmtId="0" fontId="0" fillId="37" borderId="0" xfId="61" applyFill="1" applyBorder="1">
      <alignment/>
      <protection/>
    </xf>
    <xf numFmtId="0" fontId="0" fillId="34" borderId="0" xfId="61" applyFill="1" applyBorder="1" applyAlignment="1">
      <alignment horizontal="center" vertical="center"/>
      <protection/>
    </xf>
    <xf numFmtId="173" fontId="0" fillId="34" borderId="0" xfId="61" applyNumberFormat="1" applyFill="1" applyBorder="1">
      <alignment/>
      <protection/>
    </xf>
    <xf numFmtId="173" fontId="0" fillId="34" borderId="0" xfId="61" applyNumberFormat="1" applyFill="1">
      <alignment/>
      <protection/>
    </xf>
    <xf numFmtId="173" fontId="0" fillId="33" borderId="0" xfId="61" applyNumberFormat="1" applyFill="1" applyProtection="1">
      <alignment/>
      <protection/>
    </xf>
    <xf numFmtId="0" fontId="10" fillId="34" borderId="0" xfId="61" applyFont="1" applyFill="1">
      <alignment/>
      <protection/>
    </xf>
    <xf numFmtId="173" fontId="0" fillId="33" borderId="0" xfId="61" applyNumberFormat="1" applyFill="1" applyAlignment="1" applyProtection="1">
      <alignment horizontal="left"/>
      <protection/>
    </xf>
    <xf numFmtId="0" fontId="0" fillId="0" borderId="0" xfId="61" applyFont="1" applyProtection="1">
      <alignment/>
      <protection locked="0"/>
    </xf>
    <xf numFmtId="0" fontId="0" fillId="0" borderId="0" xfId="61" applyProtection="1">
      <alignment/>
      <protection locked="0"/>
    </xf>
    <xf numFmtId="0" fontId="0" fillId="0" borderId="0" xfId="61" applyAlignment="1" applyProtection="1">
      <alignment horizontal="center" vertical="center"/>
      <protection locked="0"/>
    </xf>
    <xf numFmtId="173" fontId="56" fillId="0" borderId="0" xfId="61" applyNumberFormat="1" applyFont="1" applyProtection="1">
      <alignment/>
      <protection locked="0"/>
    </xf>
    <xf numFmtId="173" fontId="0" fillId="0" borderId="0" xfId="61" applyNumberFormat="1">
      <alignment/>
      <protection/>
    </xf>
    <xf numFmtId="0" fontId="0" fillId="0" borderId="0" xfId="61" applyFont="1" applyFill="1" applyProtection="1">
      <alignment/>
      <protection locked="0"/>
    </xf>
    <xf numFmtId="173" fontId="0" fillId="0" borderId="0" xfId="61" applyNumberFormat="1" applyProtection="1">
      <alignment/>
      <protection locked="0"/>
    </xf>
    <xf numFmtId="173" fontId="0" fillId="33" borderId="0" xfId="61" applyNumberFormat="1" applyFill="1">
      <alignment/>
      <protection/>
    </xf>
    <xf numFmtId="173" fontId="0" fillId="33" borderId="0" xfId="61" applyNumberFormat="1" applyFill="1" applyAlignment="1">
      <alignment horizontal="left"/>
      <protection/>
    </xf>
    <xf numFmtId="172" fontId="0" fillId="0" borderId="0" xfId="61" applyNumberFormat="1" applyProtection="1">
      <alignment/>
      <protection locked="0"/>
    </xf>
    <xf numFmtId="0" fontId="0" fillId="0" borderId="0" xfId="61" applyFill="1" applyProtection="1">
      <alignment/>
      <protection locked="0"/>
    </xf>
    <xf numFmtId="0" fontId="0" fillId="0" borderId="0" xfId="61" applyFont="1" applyAlignment="1" applyProtection="1">
      <alignment horizontal="center" vertical="center"/>
      <protection locked="0"/>
    </xf>
    <xf numFmtId="0" fontId="56" fillId="34" borderId="0" xfId="61" applyFont="1" applyFill="1">
      <alignment/>
      <protection/>
    </xf>
    <xf numFmtId="173" fontId="56" fillId="0" borderId="0" xfId="61" applyNumberFormat="1" applyFont="1" applyFill="1" applyProtection="1">
      <alignment/>
      <protection locked="0"/>
    </xf>
    <xf numFmtId="173" fontId="57" fillId="0" borderId="0" xfId="61" applyNumberFormat="1" applyFont="1" applyProtection="1">
      <alignment/>
      <protection locked="0"/>
    </xf>
    <xf numFmtId="0" fontId="0" fillId="38" borderId="0" xfId="61" applyFill="1">
      <alignment/>
      <protection/>
    </xf>
    <xf numFmtId="0" fontId="0" fillId="38" borderId="0" xfId="61" applyFont="1" applyFill="1" applyProtection="1">
      <alignment/>
      <protection locked="0"/>
    </xf>
    <xf numFmtId="0" fontId="0" fillId="38" borderId="0" xfId="61" applyFill="1" applyProtection="1">
      <alignment/>
      <protection locked="0"/>
    </xf>
    <xf numFmtId="0" fontId="0" fillId="38" borderId="0" xfId="61" applyFill="1" applyAlignment="1" applyProtection="1">
      <alignment horizontal="center" vertical="center"/>
      <protection locked="0"/>
    </xf>
    <xf numFmtId="173" fontId="0" fillId="38" borderId="0" xfId="61" applyNumberFormat="1" applyFill="1" applyProtection="1">
      <alignment/>
      <protection locked="0"/>
    </xf>
    <xf numFmtId="173" fontId="56" fillId="38" borderId="0" xfId="61" applyNumberFormat="1" applyFont="1" applyFill="1" applyProtection="1">
      <alignment/>
      <protection locked="0"/>
    </xf>
    <xf numFmtId="173" fontId="56" fillId="34" borderId="0" xfId="61" applyNumberFormat="1" applyFont="1" applyFill="1">
      <alignment/>
      <protection/>
    </xf>
    <xf numFmtId="173" fontId="57" fillId="38" borderId="0" xfId="61" applyNumberFormat="1" applyFont="1" applyFill="1" applyProtection="1">
      <alignment/>
      <protection locked="0"/>
    </xf>
    <xf numFmtId="173" fontId="0" fillId="37" borderId="0" xfId="61" applyNumberFormat="1" applyFill="1">
      <alignment/>
      <protection/>
    </xf>
    <xf numFmtId="0" fontId="0" fillId="0" borderId="0" xfId="61" applyFont="1" applyFill="1">
      <alignment/>
      <protection/>
    </xf>
    <xf numFmtId="173" fontId="0" fillId="33" borderId="10" xfId="61" applyNumberFormat="1" applyFill="1" applyBorder="1">
      <alignment/>
      <protection/>
    </xf>
    <xf numFmtId="173" fontId="0" fillId="0" borderId="0" xfId="61" applyNumberFormat="1" applyFill="1" applyProtection="1">
      <alignment/>
      <protection locked="0"/>
    </xf>
    <xf numFmtId="0" fontId="0" fillId="38" borderId="0" xfId="61" applyFill="1" applyBorder="1">
      <alignment/>
      <protection/>
    </xf>
    <xf numFmtId="0" fontId="3" fillId="34" borderId="0" xfId="61" applyFont="1" applyFill="1">
      <alignment/>
      <protection/>
    </xf>
    <xf numFmtId="49" fontId="0" fillId="34" borderId="0" xfId="61" applyNumberFormat="1" applyFill="1" applyAlignment="1">
      <alignment horizontal="center"/>
      <protection/>
    </xf>
    <xf numFmtId="9" fontId="0" fillId="0" borderId="0" xfId="61" applyNumberFormat="1" applyAlignment="1" applyProtection="1">
      <alignment horizontal="center"/>
      <protection locked="0"/>
    </xf>
    <xf numFmtId="49" fontId="0" fillId="34" borderId="10" xfId="61" applyNumberFormat="1" applyFill="1" applyBorder="1" applyAlignment="1">
      <alignment horizontal="center"/>
      <protection/>
    </xf>
    <xf numFmtId="0" fontId="2" fillId="34" borderId="0" xfId="61" applyFont="1" applyFill="1" applyAlignment="1">
      <alignment horizontal="center"/>
      <protection/>
    </xf>
    <xf numFmtId="49" fontId="0" fillId="34" borderId="12" xfId="61" applyNumberFormat="1" applyFill="1" applyBorder="1" applyAlignment="1">
      <alignment horizontal="center"/>
      <protection/>
    </xf>
    <xf numFmtId="0" fontId="0" fillId="34" borderId="12" xfId="61" applyFill="1" applyBorder="1">
      <alignment/>
      <protection/>
    </xf>
    <xf numFmtId="0" fontId="0" fillId="34" borderId="12" xfId="61" applyFill="1" applyBorder="1" applyAlignment="1">
      <alignment horizontal="center" vertical="center"/>
      <protection/>
    </xf>
    <xf numFmtId="0" fontId="0" fillId="34" borderId="12" xfId="61" applyFill="1" applyBorder="1" applyAlignment="1">
      <alignment horizontal="center"/>
      <protection/>
    </xf>
    <xf numFmtId="173" fontId="0" fillId="34" borderId="0" xfId="61" applyNumberFormat="1" applyFill="1" applyAlignment="1">
      <alignment horizontal="center" vertical="center"/>
      <protection/>
    </xf>
    <xf numFmtId="173" fontId="0" fillId="34" borderId="12" xfId="61" applyNumberFormat="1" applyFill="1" applyBorder="1" applyAlignment="1">
      <alignment horizontal="center"/>
      <protection/>
    </xf>
    <xf numFmtId="173" fontId="0" fillId="34" borderId="12" xfId="61" applyNumberFormat="1" applyFill="1" applyBorder="1" applyAlignment="1">
      <alignment horizontal="center" vertical="center"/>
      <protection/>
    </xf>
    <xf numFmtId="172" fontId="0" fillId="34" borderId="0" xfId="61" applyNumberFormat="1" applyFill="1" applyAlignment="1">
      <alignment horizontal="center" vertical="center"/>
      <protection/>
    </xf>
    <xf numFmtId="0" fontId="0" fillId="34" borderId="0" xfId="61" applyFill="1" applyAlignment="1">
      <alignment horizontal="right"/>
      <protection/>
    </xf>
    <xf numFmtId="0" fontId="0" fillId="0" borderId="0" xfId="61" applyAlignment="1">
      <alignment horizontal="center" vertical="center"/>
      <protection/>
    </xf>
    <xf numFmtId="0" fontId="0" fillId="0" borderId="0" xfId="61" applyFill="1">
      <alignment/>
      <protection/>
    </xf>
    <xf numFmtId="0" fontId="0" fillId="0" borderId="0" xfId="61" applyBorder="1" applyAlignment="1" applyProtection="1">
      <alignment horizontal="center" vertical="center"/>
      <protection locked="0"/>
    </xf>
    <xf numFmtId="0" fontId="0" fillId="0" borderId="0" xfId="61" applyFont="1" applyBorder="1" applyProtection="1">
      <alignment/>
      <protection locked="0"/>
    </xf>
    <xf numFmtId="0" fontId="56" fillId="0" borderId="0" xfId="61" applyFont="1" applyAlignment="1" applyProtection="1">
      <alignment horizontal="center" vertical="center"/>
      <protection locked="0"/>
    </xf>
    <xf numFmtId="0" fontId="56" fillId="34" borderId="0" xfId="61" applyFont="1" applyFill="1" applyAlignment="1">
      <alignment horizontal="center" vertical="center"/>
      <protection/>
    </xf>
    <xf numFmtId="0" fontId="56" fillId="0" borderId="0" xfId="61" applyFont="1" applyFill="1" applyProtection="1">
      <alignment/>
      <protection locked="0"/>
    </xf>
    <xf numFmtId="0" fontId="0" fillId="0" borderId="0" xfId="61" applyFill="1" applyAlignment="1" applyProtection="1">
      <alignment horizontal="center" vertical="center"/>
      <protection locked="0"/>
    </xf>
    <xf numFmtId="172" fontId="0" fillId="0" borderId="0" xfId="61" applyNumberFormat="1" applyFill="1" applyProtection="1">
      <alignment/>
      <protection locked="0"/>
    </xf>
    <xf numFmtId="0" fontId="0" fillId="0" borderId="0" xfId="61" applyFont="1" applyFill="1" applyAlignment="1" applyProtection="1">
      <alignment horizontal="center" vertical="center"/>
      <protection locked="0"/>
    </xf>
    <xf numFmtId="0" fontId="0" fillId="0" borderId="0" xfId="61" applyFont="1">
      <alignment/>
      <protection/>
    </xf>
    <xf numFmtId="173" fontId="58" fillId="0" borderId="0" xfId="61" applyNumberFormat="1" applyFont="1" applyFill="1" applyProtection="1">
      <alignment/>
      <protection locked="0"/>
    </xf>
    <xf numFmtId="0" fontId="10" fillId="0" borderId="0" xfId="61" applyFont="1" applyFill="1">
      <alignment/>
      <protection/>
    </xf>
    <xf numFmtId="0" fontId="0" fillId="0" borderId="0" xfId="61" applyFont="1" applyFill="1" applyBorder="1" applyProtection="1">
      <alignment/>
      <protection locked="0"/>
    </xf>
    <xf numFmtId="0" fontId="0" fillId="34" borderId="0" xfId="61" applyFont="1" applyFill="1" applyBorder="1">
      <alignment/>
      <protection/>
    </xf>
    <xf numFmtId="173" fontId="0" fillId="33" borderId="0" xfId="61" applyNumberFormat="1" applyFont="1" applyFill="1" applyBorder="1" applyProtection="1">
      <alignment/>
      <protection/>
    </xf>
    <xf numFmtId="0" fontId="0" fillId="37" borderId="0" xfId="61" applyFont="1" applyFill="1" applyBorder="1">
      <alignment/>
      <protection/>
    </xf>
    <xf numFmtId="0" fontId="0" fillId="34" borderId="0" xfId="61" applyFont="1" applyFill="1" applyBorder="1" applyAlignment="1">
      <alignment horizontal="center" vertical="center"/>
      <protection/>
    </xf>
    <xf numFmtId="173" fontId="0" fillId="34" borderId="0" xfId="61" applyNumberFormat="1" applyFont="1" applyFill="1" applyBorder="1">
      <alignment/>
      <protection/>
    </xf>
    <xf numFmtId="0" fontId="0" fillId="34" borderId="0" xfId="61" applyFont="1" applyFill="1">
      <alignment/>
      <protection/>
    </xf>
    <xf numFmtId="0" fontId="0" fillId="34" borderId="0" xfId="61" applyFont="1" applyFill="1" applyAlignment="1">
      <alignment horizontal="center" vertical="center"/>
      <protection/>
    </xf>
    <xf numFmtId="173" fontId="0" fillId="34" borderId="0" xfId="61" applyNumberFormat="1" applyFont="1" applyFill="1">
      <alignment/>
      <protection/>
    </xf>
    <xf numFmtId="173" fontId="0" fillId="33" borderId="0" xfId="61" applyNumberFormat="1" applyFont="1" applyFill="1" applyProtection="1">
      <alignment/>
      <protection/>
    </xf>
    <xf numFmtId="0" fontId="0" fillId="37" borderId="0" xfId="61" applyFont="1" applyFill="1">
      <alignment/>
      <protection/>
    </xf>
    <xf numFmtId="173" fontId="0" fillId="33" borderId="0" xfId="61" applyNumberFormat="1" applyFont="1" applyFill="1" applyAlignment="1" applyProtection="1">
      <alignment horizontal="left"/>
      <protection/>
    </xf>
    <xf numFmtId="173" fontId="0" fillId="33" borderId="0" xfId="61" applyNumberFormat="1" applyFont="1" applyFill="1">
      <alignment/>
      <protection/>
    </xf>
    <xf numFmtId="173" fontId="0" fillId="33" borderId="0" xfId="61" applyNumberFormat="1" applyFont="1" applyFill="1" applyAlignment="1">
      <alignment horizontal="left"/>
      <protection/>
    </xf>
    <xf numFmtId="172" fontId="0" fillId="0" borderId="0" xfId="61" applyNumberFormat="1" applyFont="1" applyProtection="1">
      <alignment/>
      <protection locked="0"/>
    </xf>
    <xf numFmtId="0" fontId="0" fillId="38" borderId="0" xfId="61" applyFont="1" applyFill="1">
      <alignment/>
      <protection/>
    </xf>
    <xf numFmtId="0" fontId="0" fillId="38" borderId="0" xfId="61" applyFont="1" applyFill="1" applyAlignment="1" applyProtection="1">
      <alignment horizontal="center" vertical="center"/>
      <protection locked="0"/>
    </xf>
    <xf numFmtId="173" fontId="0" fillId="38" borderId="0" xfId="61" applyNumberFormat="1" applyFont="1" applyFill="1" applyProtection="1">
      <alignment/>
      <protection locked="0"/>
    </xf>
    <xf numFmtId="173" fontId="59" fillId="38" borderId="0" xfId="61" applyNumberFormat="1" applyFont="1" applyFill="1" applyProtection="1">
      <alignment/>
      <protection locked="0"/>
    </xf>
    <xf numFmtId="173" fontId="59" fillId="34" borderId="0" xfId="61" applyNumberFormat="1" applyFont="1" applyFill="1">
      <alignment/>
      <protection/>
    </xf>
    <xf numFmtId="173" fontId="0" fillId="37" borderId="0" xfId="61" applyNumberFormat="1" applyFont="1" applyFill="1">
      <alignment/>
      <protection/>
    </xf>
    <xf numFmtId="0" fontId="0" fillId="34" borderId="10" xfId="61" applyFont="1" applyFill="1" applyBorder="1">
      <alignment/>
      <protection/>
    </xf>
    <xf numFmtId="0" fontId="0" fillId="34" borderId="10" xfId="61" applyFont="1" applyFill="1" applyBorder="1" applyAlignment="1">
      <alignment horizontal="center" vertical="center"/>
      <protection/>
    </xf>
    <xf numFmtId="173" fontId="0" fillId="33" borderId="10" xfId="61" applyNumberFormat="1" applyFont="1" applyFill="1" applyBorder="1">
      <alignment/>
      <protection/>
    </xf>
    <xf numFmtId="173" fontId="0" fillId="0" borderId="0" xfId="61" applyNumberFormat="1" applyFont="1" applyFill="1" applyProtection="1">
      <alignment/>
      <protection locked="0"/>
    </xf>
    <xf numFmtId="173" fontId="56" fillId="33" borderId="0" xfId="61" applyNumberFormat="1" applyFont="1" applyFill="1">
      <alignment/>
      <protection/>
    </xf>
    <xf numFmtId="0" fontId="0" fillId="33" borderId="10" xfId="61" applyFont="1" applyFill="1" applyBorder="1">
      <alignment/>
      <protection/>
    </xf>
    <xf numFmtId="0" fontId="0" fillId="37" borderId="10" xfId="61" applyFont="1" applyFill="1" applyBorder="1">
      <alignment/>
      <protection/>
    </xf>
    <xf numFmtId="0" fontId="0" fillId="0" borderId="0" xfId="61" applyFill="1" applyBorder="1" applyProtection="1">
      <alignment/>
      <protection locked="0"/>
    </xf>
    <xf numFmtId="0" fontId="56" fillId="0" borderId="0" xfId="61" applyFont="1" applyFill="1" applyBorder="1" applyProtection="1">
      <alignment/>
      <protection locked="0"/>
    </xf>
    <xf numFmtId="173" fontId="56" fillId="0" borderId="0" xfId="61" applyNumberFormat="1" applyFont="1">
      <alignment/>
      <protection/>
    </xf>
    <xf numFmtId="2" fontId="0" fillId="0" borderId="0" xfId="61" applyNumberFormat="1" applyProtection="1">
      <alignment/>
      <protection locked="0"/>
    </xf>
    <xf numFmtId="0" fontId="0" fillId="0" borderId="0" xfId="61" applyFont="1" applyAlignment="1" applyProtection="1">
      <alignment horizontal="center"/>
      <protection locked="0"/>
    </xf>
    <xf numFmtId="173" fontId="0" fillId="33" borderId="0" xfId="61" applyNumberFormat="1" applyFill="1" applyBorder="1" applyAlignment="1" applyProtection="1">
      <alignment horizontal="right"/>
      <protection/>
    </xf>
    <xf numFmtId="173" fontId="56" fillId="0" borderId="0" xfId="63" applyNumberFormat="1" applyFont="1" applyFill="1" applyProtection="1">
      <alignment/>
      <protection locked="0"/>
    </xf>
    <xf numFmtId="173" fontId="56" fillId="0" borderId="0" xfId="61" applyNumberFormat="1" applyFont="1" applyFill="1">
      <alignment/>
      <protection/>
    </xf>
    <xf numFmtId="0" fontId="0" fillId="0" borderId="0" xfId="61" applyFont="1" applyAlignment="1" applyProtection="1">
      <alignment horizontal="left"/>
      <protection locked="0"/>
    </xf>
    <xf numFmtId="0" fontId="0" fillId="0" borderId="0" xfId="62" applyAlignment="1" applyProtection="1">
      <alignment horizontal="right"/>
      <protection locked="0"/>
    </xf>
    <xf numFmtId="0" fontId="0" fillId="0" borderId="0" xfId="62" applyFont="1" applyFill="1" applyProtection="1">
      <alignment/>
      <protection locked="0"/>
    </xf>
    <xf numFmtId="173" fontId="56" fillId="0" borderId="0" xfId="61" applyNumberFormat="1" applyFont="1" applyFill="1" applyBorder="1" applyProtection="1">
      <alignment/>
      <protection locked="0"/>
    </xf>
    <xf numFmtId="172" fontId="0" fillId="0" borderId="0" xfId="61" applyNumberFormat="1">
      <alignment/>
      <protection/>
    </xf>
    <xf numFmtId="179" fontId="56" fillId="0" borderId="0" xfId="63" applyNumberFormat="1" applyFont="1" applyFill="1" applyProtection="1">
      <alignment/>
      <protection locked="0"/>
    </xf>
    <xf numFmtId="14" fontId="0" fillId="0" borderId="0" xfId="61" applyNumberFormat="1" applyAlignment="1">
      <alignment horizontal="center" wrapText="1"/>
      <protection/>
    </xf>
    <xf numFmtId="14" fontId="0" fillId="0" borderId="0" xfId="61" applyNumberFormat="1" applyFill="1" applyAlignment="1">
      <alignment horizontal="center" wrapText="1"/>
      <protection/>
    </xf>
    <xf numFmtId="14" fontId="0" fillId="0" borderId="0" xfId="61" applyNumberFormat="1" applyFont="1" applyFill="1" applyAlignment="1">
      <alignment horizontal="center" wrapText="1"/>
      <protection/>
    </xf>
    <xf numFmtId="179" fontId="56" fillId="0" borderId="0" xfId="61" applyNumberFormat="1" applyFont="1" applyFill="1" applyProtection="1">
      <alignment/>
      <protection locked="0"/>
    </xf>
    <xf numFmtId="173" fontId="56" fillId="0" borderId="0" xfId="61" applyNumberFormat="1" applyFont="1" applyFill="1" applyAlignment="1" applyProtection="1">
      <alignment horizontal="left"/>
      <protection locked="0"/>
    </xf>
    <xf numFmtId="0" fontId="0" fillId="38" borderId="0" xfId="61" applyFill="1" applyAlignment="1">
      <alignment horizontal="center" vertical="center"/>
      <protection/>
    </xf>
    <xf numFmtId="0" fontId="56" fillId="0" borderId="0" xfId="61" applyFont="1" applyProtection="1">
      <alignment/>
      <protection locked="0"/>
    </xf>
    <xf numFmtId="0" fontId="0" fillId="39" borderId="0" xfId="0" applyFill="1" applyAlignment="1">
      <alignment/>
    </xf>
    <xf numFmtId="0" fontId="0" fillId="39" borderId="0" xfId="0" applyFill="1" applyAlignment="1">
      <alignment horizontal="center"/>
    </xf>
    <xf numFmtId="173" fontId="0" fillId="39" borderId="0" xfId="0" applyNumberFormat="1" applyFill="1" applyAlignment="1">
      <alignment horizontal="center"/>
    </xf>
    <xf numFmtId="173" fontId="10" fillId="33" borderId="13" xfId="0" applyNumberFormat="1" applyFont="1" applyFill="1" applyBorder="1" applyAlignment="1">
      <alignment horizontal="left"/>
    </xf>
    <xf numFmtId="173" fontId="10" fillId="33" borderId="0" xfId="0" applyNumberFormat="1" applyFont="1" applyFill="1" applyBorder="1" applyAlignment="1">
      <alignment horizontal="left"/>
    </xf>
    <xf numFmtId="1" fontId="10" fillId="33" borderId="0" xfId="0" applyNumberFormat="1" applyFont="1" applyFill="1" applyBorder="1" applyAlignment="1">
      <alignment horizontal="center"/>
    </xf>
    <xf numFmtId="173" fontId="7" fillId="33" borderId="14" xfId="0" applyNumberFormat="1" applyFont="1" applyFill="1" applyBorder="1" applyAlignment="1">
      <alignment horizontal="center"/>
    </xf>
    <xf numFmtId="173" fontId="10" fillId="33" borderId="15" xfId="0" applyNumberFormat="1" applyFont="1" applyFill="1" applyBorder="1" applyAlignment="1">
      <alignment horizontal="left"/>
    </xf>
    <xf numFmtId="173" fontId="10" fillId="33" borderId="10" xfId="0" applyNumberFormat="1" applyFont="1" applyFill="1" applyBorder="1" applyAlignment="1">
      <alignment horizontal="left"/>
    </xf>
    <xf numFmtId="173" fontId="10" fillId="33" borderId="10" xfId="0" applyNumberFormat="1" applyFont="1" applyFill="1" applyBorder="1" applyAlignment="1">
      <alignment horizontal="center"/>
    </xf>
    <xf numFmtId="173" fontId="0" fillId="33" borderId="16" xfId="0" applyNumberFormat="1" applyFont="1" applyFill="1" applyBorder="1" applyAlignment="1">
      <alignment horizontal="center"/>
    </xf>
    <xf numFmtId="0" fontId="10" fillId="35" borderId="13" xfId="0" applyFont="1"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5" borderId="13" xfId="0" applyFill="1" applyBorder="1" applyAlignment="1">
      <alignment/>
    </xf>
    <xf numFmtId="173" fontId="60" fillId="0" borderId="0" xfId="0" applyNumberFormat="1" applyFont="1" applyFill="1" applyAlignment="1">
      <alignment horizontal="center"/>
    </xf>
    <xf numFmtId="173" fontId="7" fillId="35" borderId="14" xfId="0" applyNumberFormat="1" applyFont="1" applyFill="1" applyBorder="1" applyAlignment="1">
      <alignment horizontal="center"/>
    </xf>
    <xf numFmtId="173" fontId="0" fillId="35" borderId="0" xfId="0" applyNumberFormat="1" applyFill="1" applyBorder="1" applyAlignment="1">
      <alignment horizontal="center"/>
    </xf>
    <xf numFmtId="0" fontId="0" fillId="35" borderId="13" xfId="0" applyFont="1" applyFill="1" applyBorder="1" applyAlignment="1">
      <alignment/>
    </xf>
    <xf numFmtId="173" fontId="0" fillId="35" borderId="14" xfId="0" applyNumberFormat="1" applyFont="1" applyFill="1" applyBorder="1" applyAlignment="1">
      <alignment horizontal="center"/>
    </xf>
    <xf numFmtId="0" fontId="0" fillId="35" borderId="0" xfId="0" applyFont="1" applyFill="1" applyBorder="1" applyAlignment="1">
      <alignment/>
    </xf>
    <xf numFmtId="0" fontId="0" fillId="40" borderId="0" xfId="0" applyFill="1" applyAlignment="1">
      <alignment/>
    </xf>
    <xf numFmtId="0" fontId="0" fillId="39" borderId="0" xfId="0" applyFont="1" applyFill="1" applyAlignment="1">
      <alignment/>
    </xf>
    <xf numFmtId="0" fontId="0" fillId="35" borderId="0" xfId="0" applyFont="1" applyFill="1" applyBorder="1" applyAlignment="1">
      <alignment horizontal="left"/>
    </xf>
    <xf numFmtId="0" fontId="0" fillId="35" borderId="15" xfId="0" applyFill="1" applyBorder="1" applyAlignment="1">
      <alignment/>
    </xf>
    <xf numFmtId="0" fontId="0" fillId="35" borderId="10" xfId="0" applyFill="1" applyBorder="1" applyAlignment="1">
      <alignment/>
    </xf>
    <xf numFmtId="173" fontId="0" fillId="35" borderId="10" xfId="0" applyNumberFormat="1" applyFill="1" applyBorder="1" applyAlignment="1">
      <alignment horizontal="center"/>
    </xf>
    <xf numFmtId="173" fontId="0" fillId="35" borderId="16" xfId="0" applyNumberFormat="1" applyFont="1" applyFill="1" applyBorder="1" applyAlignment="1">
      <alignment horizontal="center"/>
    </xf>
    <xf numFmtId="10" fontId="60" fillId="0" borderId="0" xfId="68" applyNumberFormat="1" applyFont="1" applyFill="1" applyBorder="1" applyAlignment="1">
      <alignment horizontal="center"/>
    </xf>
    <xf numFmtId="173" fontId="0" fillId="35" borderId="0" xfId="0" applyNumberFormat="1" applyFont="1" applyFill="1" applyBorder="1" applyAlignment="1">
      <alignment horizontal="center"/>
    </xf>
    <xf numFmtId="10" fontId="0" fillId="35" borderId="10" xfId="0" applyNumberFormat="1" applyFill="1" applyBorder="1" applyAlignment="1">
      <alignment horizontal="center"/>
    </xf>
    <xf numFmtId="0" fontId="1" fillId="40" borderId="0" xfId="0" applyFont="1" applyFill="1" applyAlignment="1">
      <alignment/>
    </xf>
    <xf numFmtId="0" fontId="1" fillId="40" borderId="0" xfId="0" applyFont="1" applyFill="1" applyBorder="1" applyAlignment="1">
      <alignment/>
    </xf>
    <xf numFmtId="0" fontId="1" fillId="40" borderId="0" xfId="0" applyFont="1" applyFill="1" applyBorder="1" applyAlignment="1">
      <alignment horizontal="center"/>
    </xf>
    <xf numFmtId="174" fontId="12" fillId="40" borderId="0" xfId="0" applyNumberFormat="1" applyFont="1" applyFill="1" applyBorder="1" applyAlignment="1">
      <alignment horizontal="center"/>
    </xf>
    <xf numFmtId="174" fontId="1" fillId="40" borderId="0" xfId="0" applyNumberFormat="1" applyFont="1" applyFill="1" applyBorder="1" applyAlignment="1">
      <alignment horizontal="center"/>
    </xf>
    <xf numFmtId="0" fontId="4" fillId="40" borderId="0" xfId="0" applyFont="1" applyFill="1" applyAlignment="1">
      <alignment/>
    </xf>
    <xf numFmtId="0" fontId="15" fillId="39" borderId="0" xfId="57" applyFont="1" applyFill="1" applyAlignment="1" applyProtection="1">
      <alignment horizontal="left"/>
      <protection/>
    </xf>
    <xf numFmtId="0" fontId="15" fillId="39" borderId="0" xfId="57" applyFont="1" applyFill="1" applyAlignment="1" applyProtection="1">
      <alignment/>
      <protection/>
    </xf>
    <xf numFmtId="0" fontId="4" fillId="0" borderId="0" xfId="0" applyFont="1" applyAlignment="1">
      <alignment/>
    </xf>
    <xf numFmtId="0" fontId="16" fillId="0" borderId="0" xfId="0" applyFont="1" applyAlignment="1">
      <alignment/>
    </xf>
    <xf numFmtId="0" fontId="0" fillId="35" borderId="13" xfId="0" applyFont="1" applyFill="1" applyBorder="1" applyAlignment="1">
      <alignment horizontal="left" vertical="center"/>
    </xf>
    <xf numFmtId="0" fontId="0" fillId="35" borderId="13" xfId="0" applyFill="1" applyBorder="1" applyAlignment="1">
      <alignment horizontal="left" vertical="center"/>
    </xf>
    <xf numFmtId="174" fontId="60" fillId="0" borderId="0" xfId="0" applyNumberFormat="1" applyFont="1" applyFill="1" applyAlignment="1">
      <alignment horizontal="center"/>
    </xf>
    <xf numFmtId="0" fontId="0" fillId="0" borderId="0" xfId="0" applyFont="1" applyFill="1" applyAlignment="1" applyProtection="1">
      <alignment/>
      <protection locked="0"/>
    </xf>
    <xf numFmtId="0" fontId="7" fillId="34" borderId="0" xfId="0" applyFont="1" applyFill="1" applyAlignment="1">
      <alignment horizontal="center"/>
    </xf>
    <xf numFmtId="0" fontId="12" fillId="39" borderId="10" xfId="0" applyFont="1" applyFill="1" applyBorder="1" applyAlignment="1">
      <alignment horizontal="left" vertical="center"/>
    </xf>
    <xf numFmtId="0" fontId="0" fillId="39" borderId="10" xfId="0" applyFont="1" applyFill="1" applyBorder="1" applyAlignment="1">
      <alignment horizontal="left" vertical="center"/>
    </xf>
    <xf numFmtId="0" fontId="1" fillId="0" borderId="0" xfId="61" applyFont="1" applyFill="1" applyAlignment="1" applyProtection="1">
      <alignment wrapText="1"/>
      <protection locked="0"/>
    </xf>
    <xf numFmtId="0" fontId="0" fillId="0" borderId="0" xfId="61" applyAlignment="1">
      <alignment/>
      <protection/>
    </xf>
    <xf numFmtId="0" fontId="0" fillId="0" borderId="0" xfId="61">
      <alignment/>
      <protection/>
    </xf>
    <xf numFmtId="0" fontId="0" fillId="34" borderId="0" xfId="61" applyFill="1" applyAlignment="1">
      <alignment/>
      <protection/>
    </xf>
    <xf numFmtId="0" fontId="0" fillId="0" borderId="0" xfId="61" applyFill="1" applyProtection="1">
      <alignment/>
      <protection locked="0"/>
    </xf>
    <xf numFmtId="0" fontId="0" fillId="34" borderId="0" xfId="61" applyFill="1">
      <alignment/>
      <protection/>
    </xf>
    <xf numFmtId="0" fontId="0" fillId="0" borderId="0" xfId="61" applyFont="1" applyFill="1" applyAlignment="1" applyProtection="1">
      <alignment/>
      <protection locked="0"/>
    </xf>
    <xf numFmtId="0" fontId="0" fillId="0" borderId="0" xfId="61" applyProtection="1">
      <alignment/>
      <protection locked="0"/>
    </xf>
    <xf numFmtId="0" fontId="0" fillId="0" borderId="0" xfId="61" applyAlignment="1" applyProtection="1">
      <alignment vertical="top"/>
      <protection locked="0"/>
    </xf>
    <xf numFmtId="0" fontId="0" fillId="34" borderId="0" xfId="61" applyFont="1" applyFill="1">
      <alignment/>
      <protection/>
    </xf>
    <xf numFmtId="0" fontId="0" fillId="0" borderId="0" xfId="61" applyFont="1" applyAlignment="1" applyProtection="1">
      <alignment/>
      <protection locked="0"/>
    </xf>
    <xf numFmtId="0" fontId="0" fillId="0" borderId="0" xfId="61" applyFont="1" applyAlignment="1" applyProtection="1">
      <alignment vertical="top"/>
      <protection locked="0"/>
    </xf>
    <xf numFmtId="0" fontId="4" fillId="0" borderId="0" xfId="63" applyAlignment="1">
      <alignment vertical="top"/>
      <protection/>
    </xf>
    <xf numFmtId="0" fontId="1" fillId="0" borderId="0" xfId="64" applyFont="1" applyAlignment="1" applyProtection="1">
      <alignment wrapText="1"/>
      <protection locked="0"/>
    </xf>
    <xf numFmtId="0" fontId="0" fillId="34" borderId="0" xfId="61" applyFont="1" applyFill="1" applyAlignment="1">
      <alignment/>
      <protection/>
    </xf>
    <xf numFmtId="0" fontId="0" fillId="0" borderId="0" xfId="61" applyFont="1" applyAlignment="1">
      <alignment/>
      <protection/>
    </xf>
    <xf numFmtId="0" fontId="8" fillId="0" borderId="0" xfId="65" applyFont="1" applyAlignment="1" applyProtection="1">
      <alignment vertical="top" wrapText="1"/>
      <protection locked="0"/>
    </xf>
    <xf numFmtId="0" fontId="7" fillId="0" borderId="0" xfId="65" applyFont="1" applyAlignment="1" applyProtection="1">
      <alignment vertical="top" wrapText="1"/>
      <protection locked="0"/>
    </xf>
    <xf numFmtId="0" fontId="11" fillId="0" borderId="0" xfId="65" applyFont="1" applyAlignment="1" applyProtection="1">
      <alignment vertical="top" wrapText="1"/>
      <protection locked="0"/>
    </xf>
    <xf numFmtId="0" fontId="11" fillId="0" borderId="0" xfId="64" applyFont="1" applyAlignment="1" applyProtection="1">
      <alignment vertical="top"/>
      <protection locked="0"/>
    </xf>
    <xf numFmtId="0" fontId="0" fillId="0" borderId="0" xfId="61" applyFont="1" applyProtection="1">
      <alignment/>
      <protection locked="0"/>
    </xf>
    <xf numFmtId="0" fontId="1" fillId="0" borderId="0" xfId="64" applyFont="1" applyFill="1" applyAlignment="1" applyProtection="1">
      <alignment wrapText="1"/>
      <protection locked="0"/>
    </xf>
    <xf numFmtId="0" fontId="0" fillId="0" borderId="0" xfId="61" applyFill="1" applyAlignment="1" applyProtection="1">
      <alignment/>
      <protection locked="0"/>
    </xf>
    <xf numFmtId="0" fontId="0" fillId="0" borderId="0" xfId="61" applyAlignment="1" applyProtection="1">
      <alignment/>
      <protection locked="0"/>
    </xf>
    <xf numFmtId="0" fontId="0" fillId="0" borderId="0" xfId="61" applyFill="1" applyBorder="1" applyProtection="1">
      <alignment/>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Explanatory Text 2"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_CCOP_Southwestern Idaho Irrigated_03" xfId="64"/>
    <cellStyle name="Normal_Eastern Idaho Potatoes_04" xfId="65"/>
    <cellStyle name="Note" xfId="66"/>
    <cellStyle name="Output" xfId="67"/>
    <cellStyle name="Percent" xfId="68"/>
    <cellStyle name="Percent 2" xfId="69"/>
    <cellStyle name="Percent 3" xfId="70"/>
    <cellStyle name="Percent 4"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pattersn@uidaho.edu" TargetMode="External" /><Relationship Id="rId2" Type="http://schemas.openxmlformats.org/officeDocument/2006/relationships/hyperlink" Target="mailto:nrimbey@uidaho.edu" TargetMode="External" /><Relationship Id="rId3" Type="http://schemas.openxmlformats.org/officeDocument/2006/relationships/hyperlink" Target="mailto:scottj@uidaho.edu" TargetMode="External" /><Relationship Id="rId4" Type="http://schemas.openxmlformats.org/officeDocument/2006/relationships/hyperlink" Target="mailto:jerryn@uidaho.edu" TargetMode="External" /><Relationship Id="rId5" Type="http://schemas.openxmlformats.org/officeDocument/2006/relationships/hyperlink" Target="mailto:miket@uidaho.edu" TargetMode="External" /><Relationship Id="rId6" Type="http://schemas.openxmlformats.org/officeDocument/2006/relationships/hyperlink" Target="mailto:lynn.jensen@oregonstate.edu" TargetMode="External" /><Relationship Id="rId7" Type="http://schemas.openxmlformats.org/officeDocument/2006/relationships/hyperlink" Target="mailto:kpainter@uidaho.edu"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zoomScale="125" zoomScaleNormal="125" zoomScalePageLayoutView="0" workbookViewId="0" topLeftCell="A1">
      <selection activeCell="A2" sqref="A2"/>
    </sheetView>
  </sheetViews>
  <sheetFormatPr defaultColWidth="9.140625" defaultRowHeight="12.75"/>
  <cols>
    <col min="1" max="1" width="104.00390625" style="36" customWidth="1"/>
    <col min="2" max="16384" width="9.140625" style="36" customWidth="1"/>
  </cols>
  <sheetData>
    <row r="1" ht="12">
      <c r="A1" s="35" t="s">
        <v>411</v>
      </c>
    </row>
    <row r="2" ht="12">
      <c r="A2" s="37"/>
    </row>
    <row r="3" ht="87">
      <c r="A3" s="37" t="s">
        <v>163</v>
      </c>
    </row>
    <row r="4" ht="12">
      <c r="A4" s="37"/>
    </row>
    <row r="5" ht="75">
      <c r="A5" s="37" t="s">
        <v>99</v>
      </c>
    </row>
    <row r="6" ht="12">
      <c r="A6" s="37"/>
    </row>
    <row r="7" ht="37.5">
      <c r="A7" s="37" t="s">
        <v>100</v>
      </c>
    </row>
    <row r="8" ht="12">
      <c r="A8" s="37"/>
    </row>
    <row r="9" ht="37.5">
      <c r="A9" s="37" t="s">
        <v>101</v>
      </c>
    </row>
    <row r="10" ht="12">
      <c r="A10" s="37"/>
    </row>
    <row r="11" ht="99.75">
      <c r="A11" s="37" t="s">
        <v>161</v>
      </c>
    </row>
    <row r="12" ht="12">
      <c r="A12" s="37"/>
    </row>
    <row r="13" ht="75">
      <c r="A13" s="38" t="s">
        <v>164</v>
      </c>
    </row>
    <row r="14" ht="12">
      <c r="A14" s="37"/>
    </row>
    <row r="15" ht="87">
      <c r="A15" s="38" t="s">
        <v>162</v>
      </c>
    </row>
    <row r="16" ht="12">
      <c r="A16" s="37"/>
    </row>
    <row r="17" ht="12">
      <c r="A17" s="37" t="s">
        <v>343</v>
      </c>
    </row>
    <row r="18" ht="12">
      <c r="A18" s="37" t="s">
        <v>341</v>
      </c>
    </row>
    <row r="19" ht="12">
      <c r="A19" s="37" t="s">
        <v>342</v>
      </c>
    </row>
    <row r="20" ht="12">
      <c r="A20" s="37" t="s">
        <v>98</v>
      </c>
    </row>
    <row r="21" ht="12">
      <c r="A21" s="38" t="s">
        <v>144</v>
      </c>
    </row>
  </sheetData>
  <sheetProtection/>
  <printOptions/>
  <pageMargins left="0.75" right="0.75" top="0.5" bottom="0.75" header="0.5" footer="0.5"/>
  <pageSetup horizontalDpi="600" verticalDpi="600" orientation="portrait" r:id="rId1"/>
  <headerFooter alignWithMargins="0">
    <oddFooter>&amp;L&amp;A&amp;CUniversity of Idaho</oddFooter>
  </headerFooter>
</worksheet>
</file>

<file path=xl/worksheets/sheet10.xml><?xml version="1.0" encoding="utf-8"?>
<worksheet xmlns="http://schemas.openxmlformats.org/spreadsheetml/2006/main" xmlns:r="http://schemas.openxmlformats.org/officeDocument/2006/relationships">
  <sheetPr>
    <tabColor rgb="FFFFFF00"/>
  </sheetPr>
  <dimension ref="A1:N125"/>
  <sheetViews>
    <sheetView workbookViewId="0" topLeftCell="A30">
      <selection activeCell="M72" sqref="M72"/>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1" width="1.57421875" style="36" customWidth="1"/>
    <col min="12" max="12" width="10.7109375" style="36" customWidth="1"/>
    <col min="13" max="16384" width="9.140625" style="36" customWidth="1"/>
  </cols>
  <sheetData>
    <row r="1" spans="1:12" ht="33.75" customHeight="1">
      <c r="A1" s="243" t="s">
        <v>356</v>
      </c>
      <c r="B1" s="243"/>
      <c r="C1" s="243"/>
      <c r="D1" s="243"/>
      <c r="E1" s="243"/>
      <c r="F1" s="243"/>
      <c r="G1" s="243"/>
      <c r="H1" s="243"/>
      <c r="I1" s="243"/>
      <c r="J1" s="243"/>
      <c r="L1" s="175" t="s">
        <v>245</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1" ht="12">
      <c r="A7" s="133" t="s">
        <v>211</v>
      </c>
      <c r="B7" s="134"/>
      <c r="C7" s="133">
        <v>530</v>
      </c>
      <c r="D7" s="134"/>
      <c r="E7" s="68" t="s">
        <v>9</v>
      </c>
      <c r="F7" s="134"/>
      <c r="G7" s="69">
        <v>7</v>
      </c>
      <c r="H7" s="134"/>
      <c r="I7" s="135">
        <f>C7*G7</f>
        <v>3710</v>
      </c>
      <c r="J7" s="136"/>
      <c r="K7" s="130"/>
    </row>
    <row r="8" spans="1:11" ht="6.75" customHeight="1">
      <c r="A8" s="134"/>
      <c r="B8" s="134"/>
      <c r="C8" s="134"/>
      <c r="D8" s="134"/>
      <c r="E8" s="137"/>
      <c r="F8" s="134"/>
      <c r="G8" s="138"/>
      <c r="H8" s="134"/>
      <c r="I8" s="135"/>
      <c r="J8" s="136"/>
      <c r="K8" s="130"/>
    </row>
    <row r="9" spans="1:11" ht="12.75">
      <c r="A9" s="63" t="s">
        <v>10</v>
      </c>
      <c r="B9" s="139"/>
      <c r="C9" s="139"/>
      <c r="D9" s="139"/>
      <c r="E9" s="140"/>
      <c r="F9" s="139"/>
      <c r="G9" s="141"/>
      <c r="H9" s="139"/>
      <c r="I9" s="142"/>
      <c r="J9" s="143"/>
      <c r="K9" s="130"/>
    </row>
    <row r="10" spans="1:11" ht="6.75" customHeight="1">
      <c r="A10" s="139"/>
      <c r="B10" s="139"/>
      <c r="C10" s="139"/>
      <c r="D10" s="139"/>
      <c r="E10" s="140"/>
      <c r="F10" s="139"/>
      <c r="G10" s="141"/>
      <c r="H10" s="139"/>
      <c r="I10" s="142"/>
      <c r="J10" s="143"/>
      <c r="K10" s="130"/>
    </row>
    <row r="11" spans="1:11" ht="12.75">
      <c r="A11" s="76" t="s">
        <v>11</v>
      </c>
      <c r="B11" s="139"/>
      <c r="C11" s="139"/>
      <c r="D11" s="139"/>
      <c r="E11" s="140"/>
      <c r="F11" s="139"/>
      <c r="G11" s="141"/>
      <c r="H11" s="139"/>
      <c r="I11" s="144">
        <f>SUM(I12:I13)</f>
        <v>387.6</v>
      </c>
      <c r="J11" s="143"/>
      <c r="K11" s="130"/>
    </row>
    <row r="12" spans="1:11" ht="12">
      <c r="A12" s="78" t="s">
        <v>146</v>
      </c>
      <c r="B12" s="139"/>
      <c r="C12" s="78">
        <v>24</v>
      </c>
      <c r="D12" s="139"/>
      <c r="E12" s="89" t="s">
        <v>9</v>
      </c>
      <c r="F12" s="139"/>
      <c r="G12" s="91">
        <v>14.55</v>
      </c>
      <c r="H12" s="139"/>
      <c r="I12" s="142">
        <f>C12*G12</f>
        <v>349.20000000000005</v>
      </c>
      <c r="J12" s="143"/>
      <c r="K12" s="130"/>
    </row>
    <row r="13" spans="1:11" ht="12">
      <c r="A13" s="78" t="s">
        <v>328</v>
      </c>
      <c r="B13" s="139"/>
      <c r="C13" s="78">
        <v>24</v>
      </c>
      <c r="D13" s="139"/>
      <c r="E13" s="89" t="s">
        <v>9</v>
      </c>
      <c r="F13" s="139"/>
      <c r="G13" s="91">
        <v>1.6</v>
      </c>
      <c r="H13" s="139"/>
      <c r="I13" s="142">
        <f>C13*G13</f>
        <v>38.400000000000006</v>
      </c>
      <c r="J13" s="143"/>
      <c r="K13" s="130"/>
    </row>
    <row r="14" spans="1:11" ht="7.5" customHeight="1">
      <c r="A14" s="139"/>
      <c r="B14" s="139"/>
      <c r="C14" s="139"/>
      <c r="D14" s="139"/>
      <c r="E14" s="140"/>
      <c r="F14" s="139"/>
      <c r="G14" s="141"/>
      <c r="H14" s="139"/>
      <c r="I14" s="142"/>
      <c r="J14" s="143"/>
      <c r="K14" s="130"/>
    </row>
    <row r="15" spans="1:11" ht="12.75">
      <c r="A15" s="76" t="s">
        <v>12</v>
      </c>
      <c r="B15" s="139"/>
      <c r="C15" s="139"/>
      <c r="D15" s="139"/>
      <c r="E15" s="140"/>
      <c r="F15" s="139"/>
      <c r="G15" s="141"/>
      <c r="H15" s="139"/>
      <c r="I15" s="144">
        <f>SUM(I16:I22)</f>
        <v>646.6</v>
      </c>
      <c r="J15" s="143"/>
      <c r="K15" s="130"/>
    </row>
    <row r="16" spans="1:11" ht="12">
      <c r="A16" s="78" t="s">
        <v>71</v>
      </c>
      <c r="B16" s="139"/>
      <c r="C16" s="78">
        <v>200</v>
      </c>
      <c r="D16" s="139"/>
      <c r="E16" s="89" t="s">
        <v>38</v>
      </c>
      <c r="F16" s="139"/>
      <c r="G16" s="91">
        <v>0.61</v>
      </c>
      <c r="H16" s="139"/>
      <c r="I16" s="142">
        <f aca="true" t="shared" si="0" ref="I16:I22">C16*G16</f>
        <v>122</v>
      </c>
      <c r="J16" s="143"/>
      <c r="K16" s="130"/>
    </row>
    <row r="17" spans="1:11" ht="12">
      <c r="A17" s="78" t="s">
        <v>72</v>
      </c>
      <c r="B17" s="139"/>
      <c r="C17" s="78">
        <v>225</v>
      </c>
      <c r="D17" s="139">
        <v>0.57</v>
      </c>
      <c r="E17" s="89" t="s">
        <v>38</v>
      </c>
      <c r="F17" s="139"/>
      <c r="G17" s="91">
        <v>0.57</v>
      </c>
      <c r="H17" s="139"/>
      <c r="I17" s="142">
        <f t="shared" si="0"/>
        <v>128.25</v>
      </c>
      <c r="J17" s="143"/>
      <c r="K17" s="130"/>
    </row>
    <row r="18" spans="1:11" ht="12">
      <c r="A18" s="78" t="s">
        <v>13</v>
      </c>
      <c r="B18" s="139"/>
      <c r="C18" s="78">
        <v>265</v>
      </c>
      <c r="D18" s="139"/>
      <c r="E18" s="89" t="s">
        <v>38</v>
      </c>
      <c r="F18" s="139"/>
      <c r="G18" s="91">
        <v>0.51</v>
      </c>
      <c r="H18" s="139"/>
      <c r="I18" s="145">
        <f t="shared" si="0"/>
        <v>135.15</v>
      </c>
      <c r="J18" s="143"/>
      <c r="K18" s="130"/>
    </row>
    <row r="19" spans="1:11" ht="12">
      <c r="A19" s="78" t="s">
        <v>14</v>
      </c>
      <c r="B19" s="139"/>
      <c r="C19" s="78">
        <v>115</v>
      </c>
      <c r="D19" s="139"/>
      <c r="E19" s="89" t="s">
        <v>38</v>
      </c>
      <c r="F19" s="139"/>
      <c r="G19" s="91">
        <v>0.22</v>
      </c>
      <c r="H19" s="139"/>
      <c r="I19" s="145">
        <f t="shared" si="0"/>
        <v>25.3</v>
      </c>
      <c r="J19" s="143"/>
      <c r="K19" s="130"/>
    </row>
    <row r="20" spans="1:11" ht="12">
      <c r="A20" s="78" t="s">
        <v>212</v>
      </c>
      <c r="B20" s="139"/>
      <c r="C20" s="78">
        <v>2</v>
      </c>
      <c r="D20" s="139"/>
      <c r="E20" s="89" t="s">
        <v>39</v>
      </c>
      <c r="F20" s="139"/>
      <c r="G20" s="91">
        <v>25</v>
      </c>
      <c r="H20" s="139"/>
      <c r="I20" s="145">
        <f t="shared" si="0"/>
        <v>50</v>
      </c>
      <c r="J20" s="143"/>
      <c r="K20" s="130"/>
    </row>
    <row r="21" spans="1:11" ht="12">
      <c r="A21" s="78" t="s">
        <v>15</v>
      </c>
      <c r="B21" s="139"/>
      <c r="C21" s="78">
        <v>195</v>
      </c>
      <c r="D21" s="139"/>
      <c r="E21" s="89" t="s">
        <v>38</v>
      </c>
      <c r="F21" s="139"/>
      <c r="G21" s="91">
        <v>0.7</v>
      </c>
      <c r="H21" s="139"/>
      <c r="I21" s="145">
        <f t="shared" si="0"/>
        <v>136.5</v>
      </c>
      <c r="J21" s="143"/>
      <c r="K21" s="130"/>
    </row>
    <row r="22" spans="1:11" ht="12">
      <c r="A22" s="78" t="s">
        <v>73</v>
      </c>
      <c r="B22" s="139"/>
      <c r="C22" s="78">
        <v>65</v>
      </c>
      <c r="D22" s="139"/>
      <c r="E22" s="89" t="s">
        <v>38</v>
      </c>
      <c r="F22" s="139"/>
      <c r="G22" s="91">
        <v>0.76</v>
      </c>
      <c r="H22" s="139"/>
      <c r="I22" s="145">
        <f t="shared" si="0"/>
        <v>49.4</v>
      </c>
      <c r="J22" s="143"/>
      <c r="K22" s="130"/>
    </row>
    <row r="23" spans="1:11" ht="12">
      <c r="A23" s="139"/>
      <c r="B23" s="139"/>
      <c r="C23" s="139"/>
      <c r="D23" s="139"/>
      <c r="E23" s="140"/>
      <c r="F23" s="139"/>
      <c r="G23" s="141"/>
      <c r="H23" s="139"/>
      <c r="I23" s="145"/>
      <c r="J23" s="143"/>
      <c r="K23" s="130"/>
    </row>
    <row r="24" spans="1:11" ht="12.75">
      <c r="A24" s="76" t="s">
        <v>17</v>
      </c>
      <c r="B24" s="148"/>
      <c r="C24" s="139"/>
      <c r="D24" s="139"/>
      <c r="E24" s="140"/>
      <c r="F24" s="139"/>
      <c r="G24" s="141"/>
      <c r="H24" s="139"/>
      <c r="I24" s="146">
        <f>SUM(I25:I37)</f>
        <v>511.52900000000005</v>
      </c>
      <c r="J24" s="143"/>
      <c r="K24" s="130"/>
    </row>
    <row r="25" spans="1:11" ht="12">
      <c r="A25" s="78" t="s">
        <v>237</v>
      </c>
      <c r="B25" s="148"/>
      <c r="C25" s="78">
        <v>35</v>
      </c>
      <c r="D25" s="148"/>
      <c r="E25" s="89" t="s">
        <v>91</v>
      </c>
      <c r="F25" s="148"/>
      <c r="G25" s="91">
        <v>7.9</v>
      </c>
      <c r="H25" s="139"/>
      <c r="I25" s="145">
        <f>C25*G25</f>
        <v>276.5</v>
      </c>
      <c r="J25" s="143"/>
      <c r="K25" s="130"/>
    </row>
    <row r="26" spans="1:11" ht="12">
      <c r="A26" s="78" t="s">
        <v>327</v>
      </c>
      <c r="B26" s="148"/>
      <c r="C26" s="78">
        <v>24</v>
      </c>
      <c r="D26" s="148"/>
      <c r="E26" s="89" t="s">
        <v>9</v>
      </c>
      <c r="F26" s="148">
        <v>0.45</v>
      </c>
      <c r="G26" s="91">
        <v>0.45</v>
      </c>
      <c r="H26" s="139"/>
      <c r="I26" s="145">
        <f>C26*G26</f>
        <v>10.8</v>
      </c>
      <c r="J26" s="143"/>
      <c r="K26" s="130"/>
    </row>
    <row r="27" spans="1:11" ht="12">
      <c r="A27" s="78" t="s">
        <v>241</v>
      </c>
      <c r="B27" s="148"/>
      <c r="C27" s="147">
        <v>8</v>
      </c>
      <c r="D27" s="148"/>
      <c r="E27" s="89" t="s">
        <v>46</v>
      </c>
      <c r="F27" s="148"/>
      <c r="G27" s="91">
        <v>2.9</v>
      </c>
      <c r="H27" s="139"/>
      <c r="I27" s="145">
        <f>C27*G27</f>
        <v>23.2</v>
      </c>
      <c r="J27" s="143"/>
      <c r="K27" s="130"/>
    </row>
    <row r="28" spans="1:14" ht="12">
      <c r="A28" s="36" t="s">
        <v>329</v>
      </c>
      <c r="B28" s="93"/>
      <c r="C28" s="173">
        <v>14</v>
      </c>
      <c r="D28" s="93"/>
      <c r="E28" s="120" t="s">
        <v>46</v>
      </c>
      <c r="F28" s="93"/>
      <c r="G28" s="163">
        <v>2.95</v>
      </c>
      <c r="H28" s="139"/>
      <c r="I28" s="145">
        <f aca="true" t="shared" si="1" ref="I28:I34">C28*G28</f>
        <v>41.300000000000004</v>
      </c>
      <c r="J28" s="143"/>
      <c r="K28" s="102"/>
      <c r="L28" s="121"/>
      <c r="M28" s="121"/>
      <c r="N28" s="121"/>
    </row>
    <row r="29" spans="1:14" ht="12">
      <c r="A29" s="78" t="s">
        <v>330</v>
      </c>
      <c r="B29" s="139"/>
      <c r="C29" s="147">
        <v>4</v>
      </c>
      <c r="D29" s="139"/>
      <c r="E29" s="89" t="s">
        <v>207</v>
      </c>
      <c r="F29" s="148"/>
      <c r="G29" s="91">
        <v>6.05</v>
      </c>
      <c r="H29" s="139"/>
      <c r="I29" s="145">
        <f t="shared" si="1"/>
        <v>24.2</v>
      </c>
      <c r="J29" s="143"/>
      <c r="K29" s="102"/>
      <c r="L29" s="121"/>
      <c r="M29" s="121"/>
      <c r="N29" s="121"/>
    </row>
    <row r="30" spans="1:14" ht="12">
      <c r="A30" s="78" t="s">
        <v>338</v>
      </c>
      <c r="B30" s="139"/>
      <c r="C30" s="147">
        <v>7</v>
      </c>
      <c r="D30" s="139"/>
      <c r="E30" s="89" t="s">
        <v>46</v>
      </c>
      <c r="F30" s="148"/>
      <c r="G30" s="91">
        <v>6.3</v>
      </c>
      <c r="H30" s="139"/>
      <c r="I30" s="145">
        <f t="shared" si="1"/>
        <v>44.1</v>
      </c>
      <c r="J30" s="143"/>
      <c r="K30" s="102"/>
      <c r="L30" s="121"/>
      <c r="M30" s="121"/>
      <c r="N30" s="121"/>
    </row>
    <row r="31" spans="1:14" ht="12">
      <c r="A31" s="78" t="s">
        <v>331</v>
      </c>
      <c r="B31" s="139"/>
      <c r="C31" s="147">
        <v>1</v>
      </c>
      <c r="D31" s="139"/>
      <c r="E31" s="89" t="s">
        <v>38</v>
      </c>
      <c r="F31" s="139"/>
      <c r="G31" s="91">
        <v>16</v>
      </c>
      <c r="H31" s="139"/>
      <c r="I31" s="145">
        <f t="shared" si="1"/>
        <v>16</v>
      </c>
      <c r="J31" s="143"/>
      <c r="K31" s="102"/>
      <c r="L31" s="121"/>
      <c r="M31" s="121"/>
      <c r="N31" s="121"/>
    </row>
    <row r="32" spans="1:11" ht="12">
      <c r="A32" s="78" t="s">
        <v>238</v>
      </c>
      <c r="B32" s="139"/>
      <c r="C32" s="147">
        <v>2</v>
      </c>
      <c r="D32" s="139"/>
      <c r="E32" s="89" t="s">
        <v>207</v>
      </c>
      <c r="F32" s="139"/>
      <c r="G32" s="91">
        <v>4.75</v>
      </c>
      <c r="H32" s="90"/>
      <c r="I32" s="145">
        <f t="shared" si="1"/>
        <v>9.5</v>
      </c>
      <c r="J32" s="143"/>
      <c r="K32" s="130"/>
    </row>
    <row r="33" spans="1:11" ht="12">
      <c r="A33" s="78" t="s">
        <v>332</v>
      </c>
      <c r="B33" s="139"/>
      <c r="C33" s="147">
        <v>1.5</v>
      </c>
      <c r="D33" s="139"/>
      <c r="E33" s="89" t="s">
        <v>207</v>
      </c>
      <c r="F33" s="139"/>
      <c r="G33" s="91">
        <v>4.65</v>
      </c>
      <c r="H33" s="139"/>
      <c r="I33" s="145">
        <f t="shared" si="1"/>
        <v>6.9750000000000005</v>
      </c>
      <c r="J33" s="143"/>
      <c r="K33" s="130"/>
    </row>
    <row r="34" spans="1:14" ht="12">
      <c r="A34" s="79" t="s">
        <v>230</v>
      </c>
      <c r="B34" s="139"/>
      <c r="C34" s="79">
        <v>1.6</v>
      </c>
      <c r="D34" s="64"/>
      <c r="E34" s="80" t="s">
        <v>133</v>
      </c>
      <c r="F34" s="139"/>
      <c r="G34" s="91">
        <v>9.15</v>
      </c>
      <c r="H34" s="139"/>
      <c r="I34" s="145">
        <f t="shared" si="1"/>
        <v>14.64</v>
      </c>
      <c r="J34" s="143"/>
      <c r="K34" s="102"/>
      <c r="L34" s="121"/>
      <c r="M34" s="121"/>
      <c r="N34" s="121"/>
    </row>
    <row r="35" spans="1:14" ht="12">
      <c r="A35" s="79" t="s">
        <v>239</v>
      </c>
      <c r="B35" s="139"/>
      <c r="C35" s="79">
        <v>9.6</v>
      </c>
      <c r="D35" s="64"/>
      <c r="E35" s="80" t="s">
        <v>46</v>
      </c>
      <c r="F35" s="139"/>
      <c r="G35" s="91">
        <v>0.84</v>
      </c>
      <c r="H35" s="139"/>
      <c r="I35" s="145">
        <f>C35*G35</f>
        <v>8.064</v>
      </c>
      <c r="J35" s="143"/>
      <c r="K35" s="102"/>
      <c r="L35" s="121"/>
      <c r="M35" s="121"/>
      <c r="N35" s="121"/>
    </row>
    <row r="36" spans="1:14" ht="12">
      <c r="A36" s="78" t="s">
        <v>333</v>
      </c>
      <c r="B36" s="139"/>
      <c r="C36" s="147">
        <v>3.75</v>
      </c>
      <c r="D36" s="139"/>
      <c r="E36" s="89" t="s">
        <v>46</v>
      </c>
      <c r="F36" s="139"/>
      <c r="G36" s="91">
        <v>1.8</v>
      </c>
      <c r="H36" s="90"/>
      <c r="I36" s="145">
        <f>C36*G36</f>
        <v>6.75</v>
      </c>
      <c r="J36" s="143"/>
      <c r="K36" s="102"/>
      <c r="L36" s="121"/>
      <c r="M36" s="121"/>
      <c r="N36" s="121"/>
    </row>
    <row r="37" spans="1:14" ht="12">
      <c r="A37" s="78" t="s">
        <v>130</v>
      </c>
      <c r="B37" s="139"/>
      <c r="C37" s="147">
        <v>1</v>
      </c>
      <c r="D37" s="139"/>
      <c r="E37" s="89" t="s">
        <v>133</v>
      </c>
      <c r="F37" s="139"/>
      <c r="G37" s="91">
        <v>29.5</v>
      </c>
      <c r="H37" s="139"/>
      <c r="I37" s="145">
        <f>C37*G37</f>
        <v>29.5</v>
      </c>
      <c r="J37" s="143"/>
      <c r="K37" s="102"/>
      <c r="L37" s="121"/>
      <c r="M37" s="121"/>
      <c r="N37" s="121"/>
    </row>
    <row r="38" spans="1:14" ht="5.25" customHeight="1">
      <c r="A38" s="139"/>
      <c r="B38" s="139"/>
      <c r="C38" s="139"/>
      <c r="D38" s="139"/>
      <c r="E38" s="140"/>
      <c r="F38" s="139"/>
      <c r="G38" s="141"/>
      <c r="H38" s="139"/>
      <c r="I38" s="145"/>
      <c r="J38" s="143"/>
      <c r="K38" s="102"/>
      <c r="L38" s="121"/>
      <c r="M38" s="121"/>
      <c r="N38" s="121"/>
    </row>
    <row r="39" spans="1:11" ht="12.75">
      <c r="A39" s="76" t="s">
        <v>43</v>
      </c>
      <c r="B39" s="139"/>
      <c r="C39" s="139"/>
      <c r="D39" s="139"/>
      <c r="E39" s="140"/>
      <c r="F39" s="139"/>
      <c r="G39" s="141"/>
      <c r="H39" s="139"/>
      <c r="I39" s="146">
        <f>SUM(I40:I44)</f>
        <v>296.79999999999995</v>
      </c>
      <c r="J39" s="143"/>
      <c r="K39" s="130"/>
    </row>
    <row r="40" spans="1:11" ht="12">
      <c r="A40" s="78" t="s">
        <v>242</v>
      </c>
      <c r="B40" s="139"/>
      <c r="C40" s="78">
        <v>1</v>
      </c>
      <c r="D40" s="139"/>
      <c r="E40" s="89" t="s">
        <v>39</v>
      </c>
      <c r="F40" s="139"/>
      <c r="G40" s="91">
        <v>32</v>
      </c>
      <c r="H40" s="139"/>
      <c r="I40" s="145">
        <f>C40*G40</f>
        <v>32</v>
      </c>
      <c r="J40" s="143"/>
      <c r="K40" s="130"/>
    </row>
    <row r="41" spans="1:11" ht="12">
      <c r="A41" s="78" t="s">
        <v>18</v>
      </c>
      <c r="B41" s="139"/>
      <c r="C41" s="78">
        <v>2</v>
      </c>
      <c r="D41" s="139"/>
      <c r="E41" s="89" t="s">
        <v>39</v>
      </c>
      <c r="F41" s="139"/>
      <c r="G41" s="91">
        <v>9.5</v>
      </c>
      <c r="H41" s="139"/>
      <c r="I41" s="145">
        <f>C41*G41</f>
        <v>19</v>
      </c>
      <c r="J41" s="143"/>
      <c r="K41" s="130"/>
    </row>
    <row r="42" spans="1:11" ht="12">
      <c r="A42" s="78" t="s">
        <v>240</v>
      </c>
      <c r="B42" s="139"/>
      <c r="C42" s="78">
        <v>1</v>
      </c>
      <c r="D42" s="139"/>
      <c r="E42" s="89" t="s">
        <v>39</v>
      </c>
      <c r="F42" s="139"/>
      <c r="G42" s="91">
        <v>22</v>
      </c>
      <c r="H42" s="139"/>
      <c r="I42" s="145">
        <f>C42*G42</f>
        <v>22</v>
      </c>
      <c r="J42" s="143"/>
      <c r="K42" s="130"/>
    </row>
    <row r="43" spans="1:11" ht="12">
      <c r="A43" s="78" t="s">
        <v>20</v>
      </c>
      <c r="B43" s="139"/>
      <c r="C43" s="78">
        <v>3</v>
      </c>
      <c r="D43" s="139"/>
      <c r="E43" s="89" t="s">
        <v>39</v>
      </c>
      <c r="F43" s="139"/>
      <c r="G43" s="91">
        <v>11</v>
      </c>
      <c r="H43" s="139"/>
      <c r="I43" s="145">
        <f>C43*G43</f>
        <v>33</v>
      </c>
      <c r="J43" s="143"/>
      <c r="K43" s="130"/>
    </row>
    <row r="44" spans="1:11" ht="12">
      <c r="A44" s="78" t="s">
        <v>81</v>
      </c>
      <c r="B44" s="139"/>
      <c r="C44" s="78">
        <v>530</v>
      </c>
      <c r="D44" s="139"/>
      <c r="E44" s="89" t="s">
        <v>9</v>
      </c>
      <c r="F44" s="139"/>
      <c r="G44" s="91">
        <v>0.36</v>
      </c>
      <c r="H44" s="139"/>
      <c r="I44" s="145">
        <f>C44*G44</f>
        <v>190.79999999999998</v>
      </c>
      <c r="J44" s="143"/>
      <c r="K44" s="130"/>
    </row>
    <row r="45" spans="1:11" ht="12">
      <c r="A45" s="139"/>
      <c r="B45" s="139"/>
      <c r="C45" s="139"/>
      <c r="D45" s="139"/>
      <c r="E45" s="140"/>
      <c r="F45" s="139"/>
      <c r="G45" s="141"/>
      <c r="H45" s="139"/>
      <c r="I45" s="145"/>
      <c r="J45" s="143"/>
      <c r="K45" s="130"/>
    </row>
    <row r="46" spans="1:11" ht="12.75">
      <c r="A46" s="76" t="s">
        <v>22</v>
      </c>
      <c r="B46" s="139"/>
      <c r="C46" s="139"/>
      <c r="D46" s="139"/>
      <c r="E46" s="140"/>
      <c r="F46" s="139"/>
      <c r="G46" s="141"/>
      <c r="H46" s="139"/>
      <c r="I46" s="146">
        <f>SUM(I47:I49)</f>
        <v>112.35</v>
      </c>
      <c r="J46" s="143"/>
      <c r="K46" s="130"/>
    </row>
    <row r="47" spans="1:11" ht="12">
      <c r="A47" s="78" t="s">
        <v>21</v>
      </c>
      <c r="B47" s="139"/>
      <c r="C47" s="78">
        <v>1</v>
      </c>
      <c r="D47" s="139"/>
      <c r="E47" s="89" t="s">
        <v>39</v>
      </c>
      <c r="F47" s="139"/>
      <c r="G47" s="91">
        <v>45.85</v>
      </c>
      <c r="H47" s="139"/>
      <c r="I47" s="145">
        <f>C47*G47</f>
        <v>45.85</v>
      </c>
      <c r="J47" s="143"/>
      <c r="K47" s="130"/>
    </row>
    <row r="48" spans="1:11" ht="12">
      <c r="A48" s="78" t="s">
        <v>213</v>
      </c>
      <c r="B48" s="139"/>
      <c r="C48" s="78">
        <v>35</v>
      </c>
      <c r="D48" s="139"/>
      <c r="E48" s="89" t="s">
        <v>40</v>
      </c>
      <c r="F48" s="139"/>
      <c r="G48" s="91">
        <v>1.45</v>
      </c>
      <c r="H48" s="139"/>
      <c r="I48" s="145">
        <f>C48*G48</f>
        <v>50.75</v>
      </c>
      <c r="J48" s="143"/>
      <c r="K48" s="130"/>
    </row>
    <row r="49" spans="1:11" ht="12">
      <c r="A49" s="78" t="s">
        <v>214</v>
      </c>
      <c r="B49" s="139"/>
      <c r="C49" s="78">
        <v>35</v>
      </c>
      <c r="D49" s="139"/>
      <c r="E49" s="89" t="s">
        <v>40</v>
      </c>
      <c r="F49" s="139"/>
      <c r="G49" s="81">
        <v>0.45</v>
      </c>
      <c r="H49" s="139"/>
      <c r="I49" s="145">
        <f>C49*G49</f>
        <v>15.75</v>
      </c>
      <c r="J49" s="143"/>
      <c r="K49" s="130"/>
    </row>
    <row r="50" spans="1:11" ht="5.25" customHeight="1">
      <c r="A50" s="139"/>
      <c r="B50" s="139"/>
      <c r="C50" s="139"/>
      <c r="D50" s="139"/>
      <c r="E50" s="140"/>
      <c r="F50" s="139"/>
      <c r="G50" s="141"/>
      <c r="H50" s="139"/>
      <c r="I50" s="145"/>
      <c r="J50" s="143"/>
      <c r="K50" s="130"/>
    </row>
    <row r="51" spans="1:11" ht="12.75">
      <c r="A51" s="76" t="s">
        <v>149</v>
      </c>
      <c r="B51" s="139"/>
      <c r="C51" s="148"/>
      <c r="D51" s="139"/>
      <c r="E51" s="140"/>
      <c r="F51" s="139"/>
      <c r="G51" s="141"/>
      <c r="H51" s="139"/>
      <c r="I51" s="146">
        <f>SUM(I52:I56)</f>
        <v>107.104</v>
      </c>
      <c r="J51" s="143"/>
      <c r="K51" s="130"/>
    </row>
    <row r="52" spans="1:11" ht="12">
      <c r="A52" s="78" t="s">
        <v>150</v>
      </c>
      <c r="B52" s="139"/>
      <c r="C52" s="83">
        <v>2.52</v>
      </c>
      <c r="D52" s="139"/>
      <c r="E52" s="89" t="s">
        <v>91</v>
      </c>
      <c r="F52" s="139"/>
      <c r="G52" s="91">
        <f>FuelGas</f>
        <v>3.7</v>
      </c>
      <c r="H52" s="139"/>
      <c r="I52" s="145">
        <f>C52*G52</f>
        <v>9.324</v>
      </c>
      <c r="J52" s="143"/>
      <c r="K52" s="130"/>
    </row>
    <row r="53" spans="1:11" ht="12">
      <c r="A53" s="78" t="s">
        <v>151</v>
      </c>
      <c r="B53" s="139"/>
      <c r="C53" s="83">
        <v>28.01</v>
      </c>
      <c r="D53" s="139"/>
      <c r="E53" s="89" t="s">
        <v>91</v>
      </c>
      <c r="F53" s="139"/>
      <c r="G53" s="91"/>
      <c r="H53" s="139"/>
      <c r="I53" s="145">
        <f>C53*G53</f>
        <v>0</v>
      </c>
      <c r="J53" s="143"/>
      <c r="K53" s="130"/>
    </row>
    <row r="54" spans="1:11" ht="12">
      <c r="A54" s="78" t="s">
        <v>334</v>
      </c>
      <c r="B54" s="139"/>
      <c r="C54" s="83">
        <v>2.46</v>
      </c>
      <c r="D54" s="139"/>
      <c r="E54" s="89" t="s">
        <v>91</v>
      </c>
      <c r="F54" s="139"/>
      <c r="G54" s="91">
        <v>4</v>
      </c>
      <c r="H54" s="139"/>
      <c r="I54" s="145">
        <f>C54*G54</f>
        <v>9.84</v>
      </c>
      <c r="J54" s="143"/>
      <c r="K54" s="130"/>
    </row>
    <row r="55" spans="1:11" ht="12">
      <c r="A55" s="83" t="s">
        <v>152</v>
      </c>
      <c r="B55" s="139"/>
      <c r="C55" s="78">
        <v>1</v>
      </c>
      <c r="D55" s="139"/>
      <c r="E55" s="89" t="s">
        <v>39</v>
      </c>
      <c r="F55" s="139"/>
      <c r="G55" s="91">
        <v>17.5</v>
      </c>
      <c r="H55" s="139"/>
      <c r="I55" s="145">
        <f>C55*G55</f>
        <v>17.5</v>
      </c>
      <c r="J55" s="143"/>
      <c r="K55" s="130"/>
    </row>
    <row r="56" spans="1:11" ht="12">
      <c r="A56" s="83" t="s">
        <v>26</v>
      </c>
      <c r="B56" s="139"/>
      <c r="C56" s="78">
        <v>1</v>
      </c>
      <c r="D56" s="139"/>
      <c r="E56" s="89" t="s">
        <v>39</v>
      </c>
      <c r="F56" s="139"/>
      <c r="G56" s="91">
        <v>70.44</v>
      </c>
      <c r="H56" s="139"/>
      <c r="I56" s="145">
        <f>C56*G56</f>
        <v>70.44</v>
      </c>
      <c r="J56" s="143"/>
      <c r="K56" s="130"/>
    </row>
    <row r="57" spans="1:11" ht="5.25" customHeight="1">
      <c r="A57" s="94"/>
      <c r="B57" s="148"/>
      <c r="C57" s="94"/>
      <c r="D57" s="148"/>
      <c r="E57" s="149"/>
      <c r="F57" s="148"/>
      <c r="G57" s="150"/>
      <c r="H57" s="139"/>
      <c r="I57" s="145"/>
      <c r="J57" s="143"/>
      <c r="K57" s="130"/>
    </row>
    <row r="58" spans="1:11" ht="12.75">
      <c r="A58" s="76" t="s">
        <v>155</v>
      </c>
      <c r="B58" s="139"/>
      <c r="C58" s="148"/>
      <c r="D58" s="139"/>
      <c r="E58" s="140"/>
      <c r="F58" s="139"/>
      <c r="G58" s="141"/>
      <c r="H58" s="139"/>
      <c r="I58" s="146">
        <f>SUM(I59:I62)</f>
        <v>161.662</v>
      </c>
      <c r="J58" s="143"/>
      <c r="K58" s="130"/>
    </row>
    <row r="59" spans="1:11" ht="12">
      <c r="A59" s="78" t="s">
        <v>156</v>
      </c>
      <c r="B59" s="139"/>
      <c r="C59" s="83">
        <v>3.68</v>
      </c>
      <c r="D59" s="139"/>
      <c r="E59" s="89" t="s">
        <v>42</v>
      </c>
      <c r="F59" s="139"/>
      <c r="G59" s="167">
        <v>16.25</v>
      </c>
      <c r="H59" s="90"/>
      <c r="I59" s="145">
        <f>C59*G59</f>
        <v>59.800000000000004</v>
      </c>
      <c r="J59" s="143"/>
      <c r="K59" s="130"/>
    </row>
    <row r="60" spans="1:11" ht="12">
      <c r="A60" s="78" t="s">
        <v>215</v>
      </c>
      <c r="B60" s="139"/>
      <c r="C60" s="78">
        <v>2.44</v>
      </c>
      <c r="D60" s="139"/>
      <c r="E60" s="89" t="s">
        <v>42</v>
      </c>
      <c r="F60" s="139"/>
      <c r="G60" s="167">
        <v>11.55</v>
      </c>
      <c r="H60" s="90"/>
      <c r="I60" s="145">
        <f>C60*G60</f>
        <v>28.182000000000002</v>
      </c>
      <c r="J60" s="143"/>
      <c r="K60" s="130"/>
    </row>
    <row r="61" spans="1:11" ht="12">
      <c r="A61" s="78" t="s">
        <v>335</v>
      </c>
      <c r="B61" s="139"/>
      <c r="C61" s="78">
        <v>3.17</v>
      </c>
      <c r="D61" s="139"/>
      <c r="E61" s="89" t="s">
        <v>42</v>
      </c>
      <c r="F61" s="139"/>
      <c r="G61" s="167">
        <v>13</v>
      </c>
      <c r="H61" s="90"/>
      <c r="I61" s="145">
        <f>C61*G61</f>
        <v>41.21</v>
      </c>
      <c r="J61" s="143"/>
      <c r="K61" s="130"/>
    </row>
    <row r="62" spans="1:11" ht="12">
      <c r="A62" s="78" t="s">
        <v>336</v>
      </c>
      <c r="B62" s="139"/>
      <c r="C62" s="78">
        <v>3.4</v>
      </c>
      <c r="D62" s="139"/>
      <c r="E62" s="89" t="s">
        <v>42</v>
      </c>
      <c r="F62" s="139"/>
      <c r="G62" s="167">
        <v>9.55</v>
      </c>
      <c r="H62" s="90"/>
      <c r="I62" s="145">
        <f>C62*G62</f>
        <v>32.47</v>
      </c>
      <c r="J62" s="143"/>
      <c r="K62" s="130"/>
    </row>
    <row r="63" spans="1:11" ht="5.25" customHeight="1">
      <c r="A63" s="94"/>
      <c r="B63" s="148"/>
      <c r="C63" s="94"/>
      <c r="D63" s="148"/>
      <c r="E63" s="149"/>
      <c r="F63" s="148"/>
      <c r="G63" s="98"/>
      <c r="H63" s="90"/>
      <c r="I63" s="145"/>
      <c r="J63" s="143"/>
      <c r="K63" s="130"/>
    </row>
    <row r="64" spans="1:11" ht="12.75">
      <c r="A64" s="76" t="s">
        <v>189</v>
      </c>
      <c r="B64" s="139"/>
      <c r="C64" s="148"/>
      <c r="D64" s="139"/>
      <c r="E64" s="140"/>
      <c r="F64" s="139"/>
      <c r="G64" s="99"/>
      <c r="H64" s="90"/>
      <c r="I64" s="146">
        <f>SUM(I65:I66)</f>
        <v>76.85</v>
      </c>
      <c r="J64" s="143"/>
      <c r="K64" s="130"/>
    </row>
    <row r="65" spans="1:11" ht="12">
      <c r="A65" s="83" t="s">
        <v>131</v>
      </c>
      <c r="B65" s="139"/>
      <c r="C65" s="78">
        <v>530</v>
      </c>
      <c r="D65" s="139"/>
      <c r="E65" s="89" t="s">
        <v>9</v>
      </c>
      <c r="F65" s="139"/>
      <c r="G65" s="174">
        <v>0.12</v>
      </c>
      <c r="H65" s="139"/>
      <c r="I65" s="145">
        <f>C65*G65</f>
        <v>63.599999999999994</v>
      </c>
      <c r="J65" s="143"/>
      <c r="K65" s="130"/>
    </row>
    <row r="66" spans="1:11" ht="12">
      <c r="A66" s="83" t="s">
        <v>159</v>
      </c>
      <c r="B66" s="139"/>
      <c r="C66" s="78">
        <v>530</v>
      </c>
      <c r="D66" s="139"/>
      <c r="E66" s="89" t="s">
        <v>9</v>
      </c>
      <c r="F66" s="139"/>
      <c r="G66" s="178">
        <v>0.025</v>
      </c>
      <c r="H66" s="139"/>
      <c r="I66" s="145">
        <f>C66*G66</f>
        <v>13.25</v>
      </c>
      <c r="J66" s="143"/>
      <c r="K66" s="130"/>
    </row>
    <row r="67" spans="1:11" ht="6" customHeight="1">
      <c r="A67" s="94"/>
      <c r="B67" s="148"/>
      <c r="C67" s="94"/>
      <c r="D67" s="148"/>
      <c r="E67" s="149"/>
      <c r="F67" s="148"/>
      <c r="G67" s="151"/>
      <c r="H67" s="139"/>
      <c r="I67" s="145"/>
      <c r="J67" s="143"/>
      <c r="K67" s="130"/>
    </row>
    <row r="68" spans="1:11" ht="12.75">
      <c r="A68" s="76" t="s">
        <v>23</v>
      </c>
      <c r="B68" s="139"/>
      <c r="C68" s="139"/>
      <c r="D68" s="139"/>
      <c r="E68" s="140"/>
      <c r="F68" s="139"/>
      <c r="G68" s="152"/>
      <c r="H68" s="139"/>
      <c r="I68" s="146">
        <f>SUM(I69:I70)</f>
        <v>160.10000000000002</v>
      </c>
      <c r="J68" s="143"/>
      <c r="K68" s="130"/>
    </row>
    <row r="69" spans="1:11" ht="12">
      <c r="A69" s="78" t="s">
        <v>24</v>
      </c>
      <c r="B69" s="139"/>
      <c r="C69" s="78">
        <v>1</v>
      </c>
      <c r="D69" s="139"/>
      <c r="E69" s="89" t="s">
        <v>39</v>
      </c>
      <c r="F69" s="139"/>
      <c r="G69" s="81">
        <v>70</v>
      </c>
      <c r="H69" s="139"/>
      <c r="I69" s="145">
        <f>C69*G69</f>
        <v>70</v>
      </c>
      <c r="J69" s="143"/>
      <c r="K69" s="130"/>
    </row>
    <row r="70" spans="1:11" ht="12">
      <c r="A70" s="78" t="s">
        <v>25</v>
      </c>
      <c r="B70" s="139"/>
      <c r="C70" s="78">
        <v>530</v>
      </c>
      <c r="D70" s="139"/>
      <c r="E70" s="89" t="s">
        <v>9</v>
      </c>
      <c r="F70" s="139"/>
      <c r="G70" s="81">
        <v>0.17</v>
      </c>
      <c r="H70" s="139"/>
      <c r="I70" s="145">
        <f>C70*G70</f>
        <v>90.10000000000001</v>
      </c>
      <c r="J70" s="143"/>
      <c r="K70" s="130"/>
    </row>
    <row r="71" spans="1:11" ht="4.5" customHeight="1">
      <c r="A71" s="94"/>
      <c r="B71" s="148"/>
      <c r="C71" s="94"/>
      <c r="D71" s="148"/>
      <c r="E71" s="149"/>
      <c r="F71" s="148"/>
      <c r="G71" s="150"/>
      <c r="H71" s="139"/>
      <c r="I71" s="153"/>
      <c r="J71" s="143"/>
      <c r="K71" s="130"/>
    </row>
    <row r="72" spans="1:11" ht="12">
      <c r="A72" s="102" t="s">
        <v>388</v>
      </c>
      <c r="B72" s="139"/>
      <c r="C72" s="244" t="s">
        <v>50</v>
      </c>
      <c r="D72" s="245"/>
      <c r="E72" s="245"/>
      <c r="F72" s="245"/>
      <c r="G72" s="245"/>
      <c r="H72" s="139"/>
      <c r="I72" s="179">
        <v>79.83</v>
      </c>
      <c r="J72" s="143"/>
      <c r="K72" s="130"/>
    </row>
    <row r="73" spans="1:11" ht="5.25" customHeight="1">
      <c r="A73" s="139"/>
      <c r="B73" s="139"/>
      <c r="C73" s="139"/>
      <c r="D73" s="139"/>
      <c r="E73" s="140"/>
      <c r="F73" s="139"/>
      <c r="G73" s="139"/>
      <c r="H73" s="139"/>
      <c r="I73" s="145"/>
      <c r="J73" s="143"/>
      <c r="K73" s="130"/>
    </row>
    <row r="74" spans="1:11" ht="12">
      <c r="A74" s="139" t="s">
        <v>27</v>
      </c>
      <c r="B74" s="139"/>
      <c r="C74" s="139"/>
      <c r="D74" s="139"/>
      <c r="E74" s="140"/>
      <c r="F74" s="139"/>
      <c r="G74" s="139"/>
      <c r="H74" s="139"/>
      <c r="I74" s="145">
        <f>SUM(I11:I72)-(I11+I15+I24+I39+I46+I51+I58+I64+I68)</f>
        <v>2540.425000000002</v>
      </c>
      <c r="J74" s="143"/>
      <c r="K74" s="130"/>
    </row>
    <row r="75" spans="1:11" ht="12">
      <c r="A75" s="139" t="s">
        <v>28</v>
      </c>
      <c r="B75" s="139"/>
      <c r="C75" s="139"/>
      <c r="D75" s="139"/>
      <c r="E75" s="140"/>
      <c r="F75" s="139"/>
      <c r="G75" s="139"/>
      <c r="H75" s="139"/>
      <c r="I75" s="145">
        <f>I74/C7</f>
        <v>4.793254716981136</v>
      </c>
      <c r="J75" s="143"/>
      <c r="K75" s="130"/>
    </row>
    <row r="76" spans="1:11" ht="5.25" customHeight="1">
      <c r="A76" s="139"/>
      <c r="B76" s="139"/>
      <c r="C76" s="139"/>
      <c r="D76" s="139"/>
      <c r="E76" s="140"/>
      <c r="F76" s="139"/>
      <c r="G76" s="139"/>
      <c r="H76" s="139"/>
      <c r="I76" s="145"/>
      <c r="J76" s="143"/>
      <c r="K76" s="130"/>
    </row>
    <row r="77" spans="1:11" ht="12">
      <c r="A77" s="154" t="s">
        <v>29</v>
      </c>
      <c r="B77" s="154"/>
      <c r="C77" s="154"/>
      <c r="D77" s="154"/>
      <c r="E77" s="155"/>
      <c r="F77" s="154"/>
      <c r="G77" s="154"/>
      <c r="H77" s="154"/>
      <c r="I77" s="156">
        <f>I7-I74</f>
        <v>1169.574999999998</v>
      </c>
      <c r="J77" s="143"/>
      <c r="K77" s="130"/>
    </row>
    <row r="78" spans="1:11" ht="5.25" customHeight="1">
      <c r="A78" s="139"/>
      <c r="B78" s="139"/>
      <c r="C78" s="139"/>
      <c r="D78" s="139"/>
      <c r="E78" s="140"/>
      <c r="F78" s="139"/>
      <c r="G78" s="139"/>
      <c r="H78" s="139"/>
      <c r="I78" s="145"/>
      <c r="J78" s="143"/>
      <c r="K78" s="130"/>
    </row>
    <row r="79" spans="1:11" ht="12.75">
      <c r="A79" s="63" t="s">
        <v>30</v>
      </c>
      <c r="B79" s="139"/>
      <c r="C79" s="139"/>
      <c r="D79" s="139"/>
      <c r="E79" s="140"/>
      <c r="F79" s="139"/>
      <c r="G79" s="139"/>
      <c r="H79" s="139"/>
      <c r="I79" s="145"/>
      <c r="J79" s="143"/>
      <c r="K79" s="130"/>
    </row>
    <row r="80" spans="1:11" ht="12">
      <c r="A80" s="236" t="s">
        <v>135</v>
      </c>
      <c r="B80" s="236"/>
      <c r="C80" s="236"/>
      <c r="D80" s="239"/>
      <c r="E80" s="239"/>
      <c r="F80" s="239"/>
      <c r="G80" s="239"/>
      <c r="H80" s="239"/>
      <c r="I80" s="91">
        <v>76</v>
      </c>
      <c r="J80" s="143"/>
      <c r="K80" s="130"/>
    </row>
    <row r="81" spans="1:11" ht="12">
      <c r="A81" s="236" t="s">
        <v>353</v>
      </c>
      <c r="B81" s="236"/>
      <c r="C81" s="236"/>
      <c r="D81" s="239"/>
      <c r="E81" s="239"/>
      <c r="F81" s="239"/>
      <c r="G81" s="239"/>
      <c r="H81" s="239"/>
      <c r="I81" s="91">
        <v>6.56</v>
      </c>
      <c r="J81" s="143"/>
      <c r="K81" s="130"/>
    </row>
    <row r="82" spans="1:11" ht="12">
      <c r="A82" s="236" t="s">
        <v>352</v>
      </c>
      <c r="B82" s="236"/>
      <c r="C82" s="236"/>
      <c r="D82" s="239"/>
      <c r="E82" s="239"/>
      <c r="F82" s="239"/>
      <c r="G82" s="239"/>
      <c r="H82" s="239"/>
      <c r="I82" s="91">
        <v>246</v>
      </c>
      <c r="J82" s="143"/>
      <c r="K82" s="130"/>
    </row>
    <row r="83" spans="1:11" ht="12">
      <c r="A83" s="240" t="s">
        <v>44</v>
      </c>
      <c r="B83" s="240"/>
      <c r="C83" s="240"/>
      <c r="D83" s="239"/>
      <c r="E83" s="239"/>
      <c r="F83" s="239"/>
      <c r="G83" s="239"/>
      <c r="H83" s="239"/>
      <c r="I83" s="91">
        <v>700</v>
      </c>
      <c r="J83" s="143"/>
      <c r="K83" s="130"/>
    </row>
    <row r="84" spans="1:11" ht="12">
      <c r="A84" s="240" t="s">
        <v>31</v>
      </c>
      <c r="B84" s="240"/>
      <c r="C84" s="240"/>
      <c r="D84" s="239"/>
      <c r="E84" s="239"/>
      <c r="F84" s="239"/>
      <c r="G84" s="239"/>
      <c r="H84" s="239"/>
      <c r="I84" s="91">
        <v>65</v>
      </c>
      <c r="J84" s="143"/>
      <c r="K84" s="130"/>
    </row>
    <row r="85" spans="1:11" ht="12">
      <c r="A85" s="240" t="s">
        <v>32</v>
      </c>
      <c r="B85" s="240"/>
      <c r="C85" s="240"/>
      <c r="D85" s="239"/>
      <c r="E85" s="239"/>
      <c r="F85" s="239"/>
      <c r="G85" s="239"/>
      <c r="H85" s="239"/>
      <c r="I85" s="91">
        <v>185</v>
      </c>
      <c r="J85" s="143"/>
      <c r="K85" s="130"/>
    </row>
    <row r="86" spans="1:11" ht="12">
      <c r="A86" s="250"/>
      <c r="B86" s="250"/>
      <c r="C86" s="250"/>
      <c r="D86" s="239"/>
      <c r="E86" s="239"/>
      <c r="F86" s="239"/>
      <c r="G86" s="239"/>
      <c r="H86" s="239"/>
      <c r="I86" s="157"/>
      <c r="J86" s="143"/>
      <c r="K86" s="130"/>
    </row>
    <row r="87" spans="1:11" ht="5.25" customHeight="1">
      <c r="A87" s="139"/>
      <c r="B87" s="139"/>
      <c r="C87" s="139"/>
      <c r="D87" s="139"/>
      <c r="E87" s="140"/>
      <c r="F87" s="139"/>
      <c r="G87" s="139"/>
      <c r="H87" s="139"/>
      <c r="I87" s="145"/>
      <c r="J87" s="143"/>
      <c r="K87" s="130"/>
    </row>
    <row r="88" spans="1:11" ht="12.75">
      <c r="A88" s="76" t="s">
        <v>33</v>
      </c>
      <c r="B88" s="139"/>
      <c r="C88" s="139"/>
      <c r="D88" s="139"/>
      <c r="E88" s="140"/>
      <c r="F88" s="139"/>
      <c r="G88" s="139"/>
      <c r="H88" s="139"/>
      <c r="I88" s="158">
        <f>SUM(I79:I86)</f>
        <v>1278.56</v>
      </c>
      <c r="J88" s="143"/>
      <c r="K88" s="130"/>
    </row>
    <row r="89" spans="1:11" ht="12.75">
      <c r="A89" s="76" t="s">
        <v>34</v>
      </c>
      <c r="B89" s="139"/>
      <c r="C89" s="139"/>
      <c r="D89" s="139"/>
      <c r="E89" s="140"/>
      <c r="F89" s="139"/>
      <c r="G89" s="139"/>
      <c r="H89" s="139"/>
      <c r="I89" s="158">
        <f>I88/C7</f>
        <v>2.412377358490566</v>
      </c>
      <c r="J89" s="143"/>
      <c r="K89" s="130"/>
    </row>
    <row r="90" spans="1:11" ht="12">
      <c r="A90" s="139"/>
      <c r="B90" s="139"/>
      <c r="C90" s="139"/>
      <c r="D90" s="139"/>
      <c r="E90" s="140"/>
      <c r="F90" s="139"/>
      <c r="G90" s="139"/>
      <c r="H90" s="139"/>
      <c r="I90" s="158"/>
      <c r="J90" s="143"/>
      <c r="K90" s="130"/>
    </row>
    <row r="91" spans="1:11" ht="12.75">
      <c r="A91" s="76" t="s">
        <v>35</v>
      </c>
      <c r="B91" s="139"/>
      <c r="C91" s="139"/>
      <c r="D91" s="139"/>
      <c r="E91" s="140"/>
      <c r="F91" s="139"/>
      <c r="G91" s="139"/>
      <c r="H91" s="139"/>
      <c r="I91" s="158">
        <f>I74+I88</f>
        <v>3818.985000000002</v>
      </c>
      <c r="J91" s="143"/>
      <c r="K91" s="130"/>
    </row>
    <row r="92" spans="1:11" ht="12.75">
      <c r="A92" s="76" t="s">
        <v>36</v>
      </c>
      <c r="B92" s="139"/>
      <c r="C92" s="139"/>
      <c r="D92" s="139"/>
      <c r="E92" s="140"/>
      <c r="F92" s="139"/>
      <c r="G92" s="139"/>
      <c r="H92" s="139"/>
      <c r="I92" s="158">
        <f>I91/C7</f>
        <v>7.205632075471701</v>
      </c>
      <c r="J92" s="143"/>
      <c r="K92" s="130"/>
    </row>
    <row r="93" spans="1:11" ht="12">
      <c r="A93" s="139"/>
      <c r="B93" s="139"/>
      <c r="C93" s="139"/>
      <c r="D93" s="139"/>
      <c r="E93" s="140"/>
      <c r="F93" s="139"/>
      <c r="G93" s="139"/>
      <c r="H93" s="139"/>
      <c r="I93" s="145"/>
      <c r="J93" s="143"/>
      <c r="K93" s="130"/>
    </row>
    <row r="94" spans="1:11" ht="12">
      <c r="A94" s="139" t="s">
        <v>37</v>
      </c>
      <c r="B94" s="139"/>
      <c r="C94" s="139"/>
      <c r="D94" s="139"/>
      <c r="E94" s="140"/>
      <c r="F94" s="139"/>
      <c r="G94" s="139"/>
      <c r="H94" s="139"/>
      <c r="I94" s="145">
        <f>I7-I91</f>
        <v>-108.98500000000195</v>
      </c>
      <c r="J94" s="143"/>
      <c r="K94" s="130"/>
    </row>
    <row r="95" spans="1:11" ht="12">
      <c r="A95" s="154"/>
      <c r="B95" s="154"/>
      <c r="C95" s="154"/>
      <c r="D95" s="154"/>
      <c r="E95" s="155"/>
      <c r="F95" s="154"/>
      <c r="G95" s="154"/>
      <c r="H95" s="154"/>
      <c r="I95" s="159"/>
      <c r="J95" s="160"/>
      <c r="K95" s="130"/>
    </row>
    <row r="96" spans="1:10" ht="12">
      <c r="A96" s="67" t="s">
        <v>87</v>
      </c>
      <c r="B96" s="67"/>
      <c r="C96" s="67"/>
      <c r="D96" s="67"/>
      <c r="E96" s="72"/>
      <c r="F96" s="67"/>
      <c r="G96" s="67"/>
      <c r="H96" s="67"/>
      <c r="I96" s="67"/>
      <c r="J96" s="105"/>
    </row>
    <row r="97" spans="1:10" ht="13.5">
      <c r="A97" s="241" t="s">
        <v>216</v>
      </c>
      <c r="B97" s="242"/>
      <c r="C97" s="242"/>
      <c r="D97" s="242"/>
      <c r="E97" s="242"/>
      <c r="F97" s="242"/>
      <c r="G97" s="242"/>
      <c r="H97" s="242"/>
      <c r="I97" s="242"/>
      <c r="J97" s="93"/>
    </row>
    <row r="98" spans="1:10" ht="12">
      <c r="A98" s="246"/>
      <c r="B98" s="246"/>
      <c r="C98" s="246"/>
      <c r="D98" s="246"/>
      <c r="E98" s="246"/>
      <c r="F98" s="246"/>
      <c r="G98" s="246"/>
      <c r="H98" s="246"/>
      <c r="I98" s="246"/>
      <c r="J98" s="93"/>
    </row>
    <row r="99" spans="1:10" ht="12">
      <c r="A99" s="247"/>
      <c r="B99" s="247"/>
      <c r="C99" s="247"/>
      <c r="D99" s="247"/>
      <c r="E99" s="247"/>
      <c r="F99" s="247"/>
      <c r="G99" s="247"/>
      <c r="H99" s="247"/>
      <c r="I99" s="247"/>
      <c r="J99" s="93"/>
    </row>
    <row r="100" spans="1:10" ht="12">
      <c r="A100" s="248"/>
      <c r="B100" s="248"/>
      <c r="C100" s="248"/>
      <c r="D100" s="248"/>
      <c r="E100" s="248"/>
      <c r="F100" s="248"/>
      <c r="G100" s="248"/>
      <c r="H100" s="248"/>
      <c r="I100" s="248"/>
      <c r="J100" s="93"/>
    </row>
    <row r="101" spans="1:10" ht="12">
      <c r="A101" s="249"/>
      <c r="B101" s="249"/>
      <c r="C101" s="249"/>
      <c r="D101" s="249"/>
      <c r="E101" s="249"/>
      <c r="F101" s="249"/>
      <c r="G101" s="249"/>
      <c r="H101" s="249"/>
      <c r="I101" s="249"/>
      <c r="J101" s="93"/>
    </row>
    <row r="102" spans="1:10" ht="12">
      <c r="A102" s="64"/>
      <c r="B102" s="64"/>
      <c r="C102" s="64"/>
      <c r="D102" s="64"/>
      <c r="E102" s="65"/>
      <c r="F102" s="64"/>
      <c r="G102" s="64"/>
      <c r="H102" s="64"/>
      <c r="I102" s="64"/>
      <c r="J102" s="93"/>
    </row>
    <row r="103" spans="1:10" ht="12.75">
      <c r="A103" s="106" t="s">
        <v>52</v>
      </c>
      <c r="B103" s="64"/>
      <c r="C103" s="107" t="s">
        <v>56</v>
      </c>
      <c r="D103" s="64"/>
      <c r="E103" s="65" t="s">
        <v>54</v>
      </c>
      <c r="F103" s="64"/>
      <c r="G103" s="107" t="s">
        <v>55</v>
      </c>
      <c r="H103" s="64"/>
      <c r="I103" s="64"/>
      <c r="J103" s="93"/>
    </row>
    <row r="104" spans="1:10" ht="12">
      <c r="A104" s="64"/>
      <c r="B104" s="64"/>
      <c r="C104" s="108">
        <v>0.1</v>
      </c>
      <c r="D104" s="64"/>
      <c r="E104" s="65"/>
      <c r="F104" s="64"/>
      <c r="G104" s="108">
        <v>0.1</v>
      </c>
      <c r="H104" s="64"/>
      <c r="I104" s="64"/>
      <c r="J104" s="93"/>
    </row>
    <row r="105" spans="1:10" ht="12">
      <c r="A105" s="64"/>
      <c r="B105" s="64"/>
      <c r="C105" s="109"/>
      <c r="D105" s="59"/>
      <c r="E105" s="58" t="s">
        <v>53</v>
      </c>
      <c r="F105" s="59"/>
      <c r="G105" s="109"/>
      <c r="H105" s="64"/>
      <c r="I105" s="64"/>
      <c r="J105" s="93"/>
    </row>
    <row r="106" spans="1:10" ht="12">
      <c r="A106" s="110" t="s">
        <v>49</v>
      </c>
      <c r="B106" s="64"/>
      <c r="C106" s="111">
        <f>E106*(1-C104)</f>
        <v>477</v>
      </c>
      <c r="D106" s="112"/>
      <c r="E106" s="113">
        <f>C7</f>
        <v>530</v>
      </c>
      <c r="F106" s="112"/>
      <c r="G106" s="114">
        <f>E106*(1+G104)</f>
        <v>583</v>
      </c>
      <c r="H106" s="64"/>
      <c r="I106" s="64"/>
      <c r="J106" s="93"/>
    </row>
    <row r="107" spans="1:10" ht="4.5" customHeight="1">
      <c r="A107" s="64"/>
      <c r="B107" s="64"/>
      <c r="C107" s="64"/>
      <c r="D107" s="64"/>
      <c r="E107" s="65"/>
      <c r="F107" s="64"/>
      <c r="G107" s="64"/>
      <c r="H107" s="64"/>
      <c r="I107" s="64"/>
      <c r="J107" s="93"/>
    </row>
    <row r="108" spans="1:10" ht="12">
      <c r="A108" s="64" t="s">
        <v>57</v>
      </c>
      <c r="B108" s="64"/>
      <c r="C108" s="115">
        <f>$I$74/C106</f>
        <v>5.325838574423484</v>
      </c>
      <c r="D108" s="64"/>
      <c r="E108" s="115">
        <f>$I$74/E106</f>
        <v>4.793254716981136</v>
      </c>
      <c r="F108" s="64"/>
      <c r="G108" s="115">
        <f>$I$74/G106</f>
        <v>4.357504288164669</v>
      </c>
      <c r="H108" s="64"/>
      <c r="I108" s="64"/>
      <c r="J108" s="93"/>
    </row>
    <row r="109" spans="1:10" ht="4.5" customHeight="1">
      <c r="A109" s="64"/>
      <c r="B109" s="64"/>
      <c r="C109" s="64"/>
      <c r="D109" s="64"/>
      <c r="E109" s="65"/>
      <c r="F109" s="64"/>
      <c r="G109" s="64"/>
      <c r="H109" s="64"/>
      <c r="I109" s="64"/>
      <c r="J109" s="93"/>
    </row>
    <row r="110" spans="1:10" ht="12">
      <c r="A110" s="64" t="s">
        <v>58</v>
      </c>
      <c r="B110" s="64"/>
      <c r="C110" s="115">
        <f>$I$88/C106</f>
        <v>2.68041928721174</v>
      </c>
      <c r="D110" s="64"/>
      <c r="E110" s="115">
        <f>$I$88/E106</f>
        <v>2.412377358490566</v>
      </c>
      <c r="F110" s="64"/>
      <c r="G110" s="115">
        <f>$I$88/G106</f>
        <v>2.1930703259005146</v>
      </c>
      <c r="H110" s="64"/>
      <c r="I110" s="64"/>
      <c r="J110" s="93"/>
    </row>
    <row r="111" spans="1:10" ht="3.75" customHeight="1">
      <c r="A111" s="64"/>
      <c r="B111" s="64"/>
      <c r="C111" s="64"/>
      <c r="D111" s="64"/>
      <c r="E111" s="65"/>
      <c r="F111" s="64"/>
      <c r="G111" s="64"/>
      <c r="H111" s="64"/>
      <c r="I111" s="64"/>
      <c r="J111" s="93"/>
    </row>
    <row r="112" spans="1:10" ht="12">
      <c r="A112" s="64" t="s">
        <v>59</v>
      </c>
      <c r="B112" s="64"/>
      <c r="C112" s="115">
        <f>$I$91/C106</f>
        <v>8.006257861635223</v>
      </c>
      <c r="D112" s="64"/>
      <c r="E112" s="115">
        <f>$I$91/E106</f>
        <v>7.205632075471701</v>
      </c>
      <c r="F112" s="64"/>
      <c r="G112" s="115">
        <f>$I$91/G106</f>
        <v>6.550574614065184</v>
      </c>
      <c r="H112" s="64"/>
      <c r="I112" s="64"/>
      <c r="J112" s="93"/>
    </row>
    <row r="113" spans="1:10" ht="5.25" customHeight="1">
      <c r="A113" s="67"/>
      <c r="B113" s="67"/>
      <c r="C113" s="67"/>
      <c r="D113" s="67"/>
      <c r="E113" s="72"/>
      <c r="F113" s="67"/>
      <c r="G113" s="67"/>
      <c r="H113" s="67"/>
      <c r="I113" s="67"/>
      <c r="J113" s="93"/>
    </row>
    <row r="114" spans="1:10" ht="12">
      <c r="A114" s="64"/>
      <c r="B114" s="64"/>
      <c r="C114" s="64"/>
      <c r="D114" s="64"/>
      <c r="E114" s="65"/>
      <c r="F114" s="64"/>
      <c r="G114" s="64"/>
      <c r="H114" s="64"/>
      <c r="I114" s="64"/>
      <c r="J114" s="93"/>
    </row>
    <row r="115" spans="1:10" ht="12">
      <c r="A115" s="64"/>
      <c r="B115" s="64"/>
      <c r="C115" s="59"/>
      <c r="D115" s="59"/>
      <c r="E115" s="60" t="s">
        <v>49</v>
      </c>
      <c r="F115" s="59"/>
      <c r="G115" s="59"/>
      <c r="H115" s="64"/>
      <c r="I115" s="64"/>
      <c r="J115" s="93"/>
    </row>
    <row r="116" spans="1:10" ht="12">
      <c r="A116" s="110" t="s">
        <v>53</v>
      </c>
      <c r="B116" s="64"/>
      <c r="C116" s="116">
        <f>E116*(1-C104)</f>
        <v>6.3</v>
      </c>
      <c r="D116" s="112"/>
      <c r="E116" s="117">
        <f>G7</f>
        <v>7</v>
      </c>
      <c r="F116" s="112"/>
      <c r="G116" s="116">
        <f>E116*(1+G104)</f>
        <v>7.700000000000001</v>
      </c>
      <c r="H116" s="64"/>
      <c r="I116" s="64"/>
      <c r="J116" s="93"/>
    </row>
    <row r="117" spans="1:10" ht="4.5" customHeight="1">
      <c r="A117" s="64"/>
      <c r="B117" s="64"/>
      <c r="C117" s="64"/>
      <c r="D117" s="64"/>
      <c r="E117" s="65"/>
      <c r="F117" s="64"/>
      <c r="G117" s="64"/>
      <c r="H117" s="64"/>
      <c r="I117" s="64"/>
      <c r="J117" s="93"/>
    </row>
    <row r="118" spans="1:10" ht="12">
      <c r="A118" s="64" t="s">
        <v>57</v>
      </c>
      <c r="B118" s="64"/>
      <c r="C118" s="118">
        <f>$I$74/C116</f>
        <v>403.24206349206383</v>
      </c>
      <c r="D118" s="64"/>
      <c r="E118" s="118">
        <f>$I$74/E116</f>
        <v>362.91785714285743</v>
      </c>
      <c r="F118" s="64"/>
      <c r="G118" s="118">
        <f>$I$74/G116</f>
        <v>329.9253246753249</v>
      </c>
      <c r="H118" s="64"/>
      <c r="I118" s="64"/>
      <c r="J118" s="93"/>
    </row>
    <row r="119" spans="1:10" ht="3" customHeight="1">
      <c r="A119" s="64"/>
      <c r="B119" s="64"/>
      <c r="C119" s="64"/>
      <c r="D119" s="64"/>
      <c r="E119" s="65"/>
      <c r="F119" s="64"/>
      <c r="G119" s="64"/>
      <c r="H119" s="64"/>
      <c r="I119" s="64"/>
      <c r="J119" s="93"/>
    </row>
    <row r="120" spans="1:10" ht="12">
      <c r="A120" s="64" t="s">
        <v>58</v>
      </c>
      <c r="B120" s="64"/>
      <c r="C120" s="118">
        <f>$I$88/C116</f>
        <v>202.94603174603174</v>
      </c>
      <c r="D120" s="64"/>
      <c r="E120" s="118">
        <f>$I$88/E116</f>
        <v>182.65142857142857</v>
      </c>
      <c r="F120" s="64"/>
      <c r="G120" s="118">
        <f>$I$88/G116</f>
        <v>166.0467532467532</v>
      </c>
      <c r="H120" s="64"/>
      <c r="I120" s="64"/>
      <c r="J120" s="93"/>
    </row>
    <row r="121" spans="1:10" ht="3.75" customHeight="1">
      <c r="A121" s="64"/>
      <c r="B121" s="64"/>
      <c r="C121" s="64"/>
      <c r="D121" s="64"/>
      <c r="E121" s="65"/>
      <c r="F121" s="64"/>
      <c r="G121" s="64"/>
      <c r="H121" s="64"/>
      <c r="I121" s="64"/>
      <c r="J121" s="93"/>
    </row>
    <row r="122" spans="1:10" ht="12">
      <c r="A122" s="64" t="s">
        <v>59</v>
      </c>
      <c r="B122" s="64"/>
      <c r="C122" s="118">
        <f>$I$91/C116</f>
        <v>606.1880952380956</v>
      </c>
      <c r="D122" s="64"/>
      <c r="E122" s="118">
        <f>$I$91/E116</f>
        <v>545.569285714286</v>
      </c>
      <c r="F122" s="64"/>
      <c r="G122" s="118">
        <f>$I$91/G116</f>
        <v>495.9720779220781</v>
      </c>
      <c r="H122" s="64"/>
      <c r="I122" s="64"/>
      <c r="J122" s="93"/>
    </row>
    <row r="123" spans="1:10" ht="5.25" customHeight="1">
      <c r="A123" s="64"/>
      <c r="B123" s="64"/>
      <c r="C123" s="64"/>
      <c r="D123" s="64"/>
      <c r="E123" s="65"/>
      <c r="F123" s="64"/>
      <c r="G123" s="64"/>
      <c r="H123" s="64"/>
      <c r="I123" s="64"/>
      <c r="J123" s="93"/>
    </row>
    <row r="124" spans="1:10" ht="12">
      <c r="A124" s="59"/>
      <c r="B124" s="59"/>
      <c r="C124" s="59"/>
      <c r="D124" s="59"/>
      <c r="E124" s="60"/>
      <c r="F124" s="59"/>
      <c r="G124" s="59"/>
      <c r="H124" s="59"/>
      <c r="I124" s="59"/>
      <c r="J124" s="93"/>
    </row>
    <row r="125" spans="1:10" ht="12">
      <c r="A125" s="64"/>
      <c r="B125" s="64"/>
      <c r="C125" s="64"/>
      <c r="D125" s="64"/>
      <c r="E125" s="65"/>
      <c r="F125" s="64"/>
      <c r="G125" s="64"/>
      <c r="H125" s="64"/>
      <c r="I125" s="64"/>
      <c r="J125" s="93"/>
    </row>
  </sheetData>
  <sheetProtection/>
  <mergeCells count="21">
    <mergeCell ref="A99:I99"/>
    <mergeCell ref="A100:I100"/>
    <mergeCell ref="A101:I101"/>
    <mergeCell ref="A84:C84"/>
    <mergeCell ref="D84:H84"/>
    <mergeCell ref="A85:C85"/>
    <mergeCell ref="D85:H85"/>
    <mergeCell ref="A86:C86"/>
    <mergeCell ref="D86:H86"/>
    <mergeCell ref="A1:J1"/>
    <mergeCell ref="C72:G72"/>
    <mergeCell ref="A80:C80"/>
    <mergeCell ref="D80:H80"/>
    <mergeCell ref="A81:C81"/>
    <mergeCell ref="A98:I98"/>
    <mergeCell ref="D81:H81"/>
    <mergeCell ref="A82:C82"/>
    <mergeCell ref="D82:H82"/>
    <mergeCell ref="A83:C83"/>
    <mergeCell ref="D83:H83"/>
    <mergeCell ref="A97:I97"/>
  </mergeCells>
  <printOptions/>
  <pageMargins left="1.25" right="0.75" top="0.5" bottom="0.5" header="0.5" footer="0.5"/>
  <pageSetup horizontalDpi="600" verticalDpi="600" orientation="portrait" scale="71" r:id="rId1"/>
  <headerFooter alignWithMargins="0">
    <oddFooter>&amp;L&amp;A&amp;CUniversity of Idaho&amp;RAERS Dept</oddFooter>
  </headerFooter>
  <rowBreaks count="1" manualBreakCount="1">
    <brk id="78" max="255" man="1"/>
  </rowBreaks>
</worksheet>
</file>

<file path=xl/worksheets/sheet11.xml><?xml version="1.0" encoding="utf-8"?>
<worksheet xmlns="http://schemas.openxmlformats.org/spreadsheetml/2006/main" xmlns:r="http://schemas.openxmlformats.org/officeDocument/2006/relationships">
  <sheetPr>
    <tabColor rgb="FFFFFF00"/>
  </sheetPr>
  <dimension ref="A1:N126"/>
  <sheetViews>
    <sheetView zoomScalePageLayoutView="0" workbookViewId="0" topLeftCell="A47">
      <selection activeCell="G52" sqref="G52:G53"/>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57421875" style="36" customWidth="1"/>
    <col min="13" max="16384" width="9.140625" style="36" customWidth="1"/>
  </cols>
  <sheetData>
    <row r="1" spans="1:12" ht="33.75" customHeight="1">
      <c r="A1" s="251" t="s">
        <v>355</v>
      </c>
      <c r="B1" s="251"/>
      <c r="C1" s="251"/>
      <c r="D1" s="251"/>
      <c r="E1" s="251"/>
      <c r="F1" s="251"/>
      <c r="G1" s="251"/>
      <c r="H1" s="251"/>
      <c r="I1" s="251"/>
      <c r="J1" s="251"/>
      <c r="L1" s="175" t="s">
        <v>245</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1" ht="12">
      <c r="A7" s="161" t="s">
        <v>217</v>
      </c>
      <c r="B7" s="67"/>
      <c r="C7" s="161">
        <v>530</v>
      </c>
      <c r="D7" s="67"/>
      <c r="E7" s="122" t="s">
        <v>9</v>
      </c>
      <c r="F7" s="67"/>
      <c r="G7" s="69">
        <v>7</v>
      </c>
      <c r="H7" s="134"/>
      <c r="I7" s="135">
        <f>C7*G7</f>
        <v>3710</v>
      </c>
      <c r="J7" s="136"/>
      <c r="K7" s="130"/>
    </row>
    <row r="8" spans="1:11" ht="6.75" customHeight="1">
      <c r="A8" s="67"/>
      <c r="B8" s="67"/>
      <c r="C8" s="67"/>
      <c r="D8" s="67"/>
      <c r="E8" s="72"/>
      <c r="F8" s="67"/>
      <c r="G8" s="138"/>
      <c r="H8" s="134"/>
      <c r="I8" s="135"/>
      <c r="J8" s="136"/>
      <c r="K8" s="130"/>
    </row>
    <row r="9" spans="1:11" ht="12.75">
      <c r="A9" s="63" t="s">
        <v>10</v>
      </c>
      <c r="B9" s="64"/>
      <c r="C9" s="64"/>
      <c r="D9" s="64"/>
      <c r="E9" s="65"/>
      <c r="F9" s="64"/>
      <c r="G9" s="141"/>
      <c r="H9" s="139"/>
      <c r="I9" s="142"/>
      <c r="J9" s="143"/>
      <c r="K9" s="130"/>
    </row>
    <row r="10" spans="1:11" ht="6.75" customHeight="1">
      <c r="A10" s="64"/>
      <c r="B10" s="64"/>
      <c r="C10" s="64"/>
      <c r="D10" s="64"/>
      <c r="E10" s="65"/>
      <c r="F10" s="64"/>
      <c r="G10" s="141"/>
      <c r="H10" s="139"/>
      <c r="I10" s="142"/>
      <c r="J10" s="143"/>
      <c r="K10" s="130"/>
    </row>
    <row r="11" spans="1:11" ht="12.75">
      <c r="A11" s="76" t="s">
        <v>11</v>
      </c>
      <c r="B11" s="64"/>
      <c r="C11" s="64"/>
      <c r="D11" s="64"/>
      <c r="E11" s="65"/>
      <c r="F11" s="64"/>
      <c r="G11" s="141"/>
      <c r="H11" s="139"/>
      <c r="I11" s="144">
        <f>SUM(I12:I13)</f>
        <v>387.6</v>
      </c>
      <c r="J11" s="143"/>
      <c r="K11" s="130"/>
    </row>
    <row r="12" spans="1:11" ht="12">
      <c r="A12" s="78" t="s">
        <v>146</v>
      </c>
      <c r="B12" s="64"/>
      <c r="C12" s="79">
        <v>24</v>
      </c>
      <c r="D12" s="64"/>
      <c r="E12" s="80" t="s">
        <v>9</v>
      </c>
      <c r="F12" s="64"/>
      <c r="G12" s="91">
        <v>14.55</v>
      </c>
      <c r="H12" s="139"/>
      <c r="I12" s="142">
        <f>C12*G12</f>
        <v>349.20000000000005</v>
      </c>
      <c r="J12" s="143"/>
      <c r="K12" s="130"/>
    </row>
    <row r="13" spans="1:11" ht="12">
      <c r="A13" s="79" t="s">
        <v>328</v>
      </c>
      <c r="B13" s="64"/>
      <c r="C13" s="79">
        <v>24</v>
      </c>
      <c r="D13" s="64"/>
      <c r="E13" s="80" t="s">
        <v>9</v>
      </c>
      <c r="F13" s="64"/>
      <c r="G13" s="91">
        <v>1.6</v>
      </c>
      <c r="H13" s="139"/>
      <c r="I13" s="142">
        <f>C13*G13</f>
        <v>38.400000000000006</v>
      </c>
      <c r="J13" s="143"/>
      <c r="K13" s="130"/>
    </row>
    <row r="14" spans="1:11" ht="7.5" customHeight="1">
      <c r="A14" s="64"/>
      <c r="B14" s="64"/>
      <c r="C14" s="64"/>
      <c r="D14" s="64"/>
      <c r="E14" s="65"/>
      <c r="F14" s="64"/>
      <c r="G14" s="141"/>
      <c r="H14" s="139"/>
      <c r="I14" s="142"/>
      <c r="J14" s="143"/>
      <c r="K14" s="130"/>
    </row>
    <row r="15" spans="1:11" ht="12.75">
      <c r="A15" s="76" t="s">
        <v>12</v>
      </c>
      <c r="B15" s="64"/>
      <c r="C15" s="64"/>
      <c r="D15" s="64"/>
      <c r="E15" s="65"/>
      <c r="F15" s="64"/>
      <c r="G15" s="141"/>
      <c r="H15" s="139"/>
      <c r="I15" s="144">
        <f>SUM(I16:I22)</f>
        <v>646.6</v>
      </c>
      <c r="J15" s="143"/>
      <c r="K15" s="130"/>
    </row>
    <row r="16" spans="1:11" ht="12">
      <c r="A16" s="79" t="s">
        <v>71</v>
      </c>
      <c r="B16" s="64"/>
      <c r="C16" s="78">
        <v>200</v>
      </c>
      <c r="D16" s="139"/>
      <c r="E16" s="89" t="s">
        <v>38</v>
      </c>
      <c r="F16" s="139"/>
      <c r="G16" s="91">
        <v>0.61</v>
      </c>
      <c r="H16" s="139"/>
      <c r="I16" s="142">
        <f aca="true" t="shared" si="0" ref="I16:I22">C16*G16</f>
        <v>122</v>
      </c>
      <c r="J16" s="143"/>
      <c r="K16" s="130"/>
    </row>
    <row r="17" spans="1:11" ht="12">
      <c r="A17" s="79" t="s">
        <v>72</v>
      </c>
      <c r="B17" s="64"/>
      <c r="C17" s="78">
        <v>225</v>
      </c>
      <c r="D17" s="139">
        <v>0.57</v>
      </c>
      <c r="E17" s="89" t="s">
        <v>38</v>
      </c>
      <c r="F17" s="139"/>
      <c r="G17" s="91">
        <v>0.57</v>
      </c>
      <c r="H17" s="139"/>
      <c r="I17" s="142">
        <f t="shared" si="0"/>
        <v>128.25</v>
      </c>
      <c r="J17" s="143"/>
      <c r="K17" s="130"/>
    </row>
    <row r="18" spans="1:11" ht="12">
      <c r="A18" s="79" t="s">
        <v>13</v>
      </c>
      <c r="B18" s="64"/>
      <c r="C18" s="78">
        <v>265</v>
      </c>
      <c r="D18" s="139"/>
      <c r="E18" s="89" t="s">
        <v>38</v>
      </c>
      <c r="F18" s="139"/>
      <c r="G18" s="91">
        <v>0.51</v>
      </c>
      <c r="H18" s="139"/>
      <c r="I18" s="145">
        <f t="shared" si="0"/>
        <v>135.15</v>
      </c>
      <c r="J18" s="143"/>
      <c r="K18" s="130"/>
    </row>
    <row r="19" spans="1:11" ht="12">
      <c r="A19" s="79" t="s">
        <v>14</v>
      </c>
      <c r="B19" s="64"/>
      <c r="C19" s="78">
        <v>115</v>
      </c>
      <c r="D19" s="139"/>
      <c r="E19" s="89" t="s">
        <v>38</v>
      </c>
      <c r="F19" s="139"/>
      <c r="G19" s="91">
        <v>0.22</v>
      </c>
      <c r="H19" s="139"/>
      <c r="I19" s="145">
        <f t="shared" si="0"/>
        <v>25.3</v>
      </c>
      <c r="J19" s="143"/>
      <c r="K19" s="130"/>
    </row>
    <row r="20" spans="1:11" ht="12">
      <c r="A20" s="78" t="s">
        <v>212</v>
      </c>
      <c r="B20" s="64"/>
      <c r="C20" s="78">
        <v>2</v>
      </c>
      <c r="D20" s="139"/>
      <c r="E20" s="89" t="s">
        <v>39</v>
      </c>
      <c r="F20" s="139"/>
      <c r="G20" s="91">
        <v>25</v>
      </c>
      <c r="H20" s="139"/>
      <c r="I20" s="145">
        <f t="shared" si="0"/>
        <v>50</v>
      </c>
      <c r="J20" s="143"/>
      <c r="K20" s="130"/>
    </row>
    <row r="21" spans="1:11" ht="12">
      <c r="A21" s="79" t="s">
        <v>15</v>
      </c>
      <c r="B21" s="64"/>
      <c r="C21" s="78">
        <v>195</v>
      </c>
      <c r="D21" s="139"/>
      <c r="E21" s="89" t="s">
        <v>38</v>
      </c>
      <c r="F21" s="139"/>
      <c r="G21" s="91">
        <v>0.7</v>
      </c>
      <c r="H21" s="139"/>
      <c r="I21" s="145">
        <f t="shared" si="0"/>
        <v>136.5</v>
      </c>
      <c r="J21" s="143"/>
      <c r="K21" s="130"/>
    </row>
    <row r="22" spans="1:11" ht="12">
      <c r="A22" s="79" t="s">
        <v>73</v>
      </c>
      <c r="B22" s="64"/>
      <c r="C22" s="78">
        <v>65</v>
      </c>
      <c r="D22" s="139"/>
      <c r="E22" s="89" t="s">
        <v>38</v>
      </c>
      <c r="F22" s="139"/>
      <c r="G22" s="91">
        <v>0.76</v>
      </c>
      <c r="H22" s="139"/>
      <c r="I22" s="145">
        <f t="shared" si="0"/>
        <v>49.4</v>
      </c>
      <c r="J22" s="143"/>
      <c r="K22" s="130"/>
    </row>
    <row r="23" spans="1:11" ht="12">
      <c r="A23" s="64"/>
      <c r="B23" s="64"/>
      <c r="C23" s="64"/>
      <c r="D23" s="64"/>
      <c r="E23" s="65"/>
      <c r="F23" s="64"/>
      <c r="G23" s="141"/>
      <c r="H23" s="139"/>
      <c r="I23" s="145"/>
      <c r="J23" s="143"/>
      <c r="K23" s="130"/>
    </row>
    <row r="24" spans="1:11" ht="12.75">
      <c r="A24" s="76" t="s">
        <v>17</v>
      </c>
      <c r="B24" s="64"/>
      <c r="C24" s="64"/>
      <c r="D24" s="64"/>
      <c r="E24" s="65"/>
      <c r="F24" s="64"/>
      <c r="G24" s="141"/>
      <c r="H24" s="139"/>
      <c r="I24" s="146">
        <f>SUM(I25:I37)</f>
        <v>511.52900000000005</v>
      </c>
      <c r="J24" s="143"/>
      <c r="K24" s="130"/>
    </row>
    <row r="25" spans="1:11" ht="12">
      <c r="A25" s="78" t="s">
        <v>237</v>
      </c>
      <c r="B25" s="148"/>
      <c r="C25" s="78">
        <v>35</v>
      </c>
      <c r="D25" s="148"/>
      <c r="E25" s="89" t="s">
        <v>91</v>
      </c>
      <c r="F25" s="148"/>
      <c r="G25" s="91">
        <v>7.9</v>
      </c>
      <c r="H25" s="139"/>
      <c r="I25" s="145">
        <f>C25*G25</f>
        <v>276.5</v>
      </c>
      <c r="J25" s="143"/>
      <c r="K25" s="130"/>
    </row>
    <row r="26" spans="1:14" ht="12">
      <c r="A26" s="78" t="s">
        <v>327</v>
      </c>
      <c r="B26" s="148"/>
      <c r="C26" s="78">
        <v>24</v>
      </c>
      <c r="D26" s="148"/>
      <c r="E26" s="89" t="s">
        <v>9</v>
      </c>
      <c r="F26" s="148">
        <v>0.45</v>
      </c>
      <c r="G26" s="91">
        <v>0.45</v>
      </c>
      <c r="H26" s="139"/>
      <c r="I26" s="145">
        <f>C26*G26</f>
        <v>10.8</v>
      </c>
      <c r="J26" s="143"/>
      <c r="K26" s="102"/>
      <c r="L26" s="121"/>
      <c r="M26" s="121"/>
      <c r="N26" s="121"/>
    </row>
    <row r="27" spans="1:14" ht="12">
      <c r="A27" s="78" t="s">
        <v>241</v>
      </c>
      <c r="B27" s="148"/>
      <c r="C27" s="147">
        <v>8</v>
      </c>
      <c r="D27" s="148"/>
      <c r="E27" s="89" t="s">
        <v>46</v>
      </c>
      <c r="F27" s="148"/>
      <c r="G27" s="91">
        <v>2.9</v>
      </c>
      <c r="H27" s="139"/>
      <c r="I27" s="145">
        <f>C27*G27</f>
        <v>23.2</v>
      </c>
      <c r="J27" s="143"/>
      <c r="K27" s="102"/>
      <c r="L27" s="121"/>
      <c r="M27" s="121"/>
      <c r="N27" s="121"/>
    </row>
    <row r="28" spans="1:14" ht="12">
      <c r="A28" s="36" t="s">
        <v>329</v>
      </c>
      <c r="B28" s="93"/>
      <c r="C28" s="173">
        <v>14</v>
      </c>
      <c r="D28" s="93"/>
      <c r="E28" s="120" t="s">
        <v>46</v>
      </c>
      <c r="F28" s="93"/>
      <c r="G28" s="163">
        <v>2.95</v>
      </c>
      <c r="H28" s="139"/>
      <c r="I28" s="145">
        <f aca="true" t="shared" si="1" ref="I28:I34">C28*G28</f>
        <v>41.300000000000004</v>
      </c>
      <c r="J28" s="143"/>
      <c r="K28" s="102"/>
      <c r="L28" s="121"/>
      <c r="M28" s="121"/>
      <c r="N28" s="121"/>
    </row>
    <row r="29" spans="1:14" ht="12">
      <c r="A29" s="78" t="s">
        <v>330</v>
      </c>
      <c r="B29" s="139"/>
      <c r="C29" s="147">
        <v>4</v>
      </c>
      <c r="D29" s="139"/>
      <c r="E29" s="89" t="s">
        <v>207</v>
      </c>
      <c r="F29" s="148"/>
      <c r="G29" s="91">
        <v>6.05</v>
      </c>
      <c r="H29" s="139"/>
      <c r="I29" s="145">
        <f t="shared" si="1"/>
        <v>24.2</v>
      </c>
      <c r="J29" s="143"/>
      <c r="K29" s="102"/>
      <c r="L29" s="121"/>
      <c r="M29" s="121"/>
      <c r="N29" s="121"/>
    </row>
    <row r="30" spans="1:14" ht="12">
      <c r="A30" s="78" t="s">
        <v>338</v>
      </c>
      <c r="B30" s="139"/>
      <c r="C30" s="147">
        <v>7</v>
      </c>
      <c r="D30" s="139"/>
      <c r="E30" s="89" t="s">
        <v>46</v>
      </c>
      <c r="F30" s="148"/>
      <c r="G30" s="91">
        <v>6.3</v>
      </c>
      <c r="H30" s="139"/>
      <c r="I30" s="145">
        <f t="shared" si="1"/>
        <v>44.1</v>
      </c>
      <c r="J30" s="143"/>
      <c r="K30" s="102"/>
      <c r="L30" s="121"/>
      <c r="M30" s="121"/>
      <c r="N30" s="121"/>
    </row>
    <row r="31" spans="1:14" ht="12">
      <c r="A31" s="78" t="s">
        <v>331</v>
      </c>
      <c r="B31" s="139"/>
      <c r="C31" s="147">
        <v>1</v>
      </c>
      <c r="D31" s="139"/>
      <c r="E31" s="89" t="s">
        <v>38</v>
      </c>
      <c r="F31" s="139"/>
      <c r="G31" s="91">
        <v>16</v>
      </c>
      <c r="H31" s="139"/>
      <c r="I31" s="145">
        <f t="shared" si="1"/>
        <v>16</v>
      </c>
      <c r="J31" s="143"/>
      <c r="K31" s="102"/>
      <c r="L31" s="121"/>
      <c r="M31" s="121"/>
      <c r="N31" s="121"/>
    </row>
    <row r="32" spans="1:14" ht="12">
      <c r="A32" s="78" t="s">
        <v>238</v>
      </c>
      <c r="B32" s="139"/>
      <c r="C32" s="147">
        <v>2</v>
      </c>
      <c r="D32" s="139"/>
      <c r="E32" s="89" t="s">
        <v>207</v>
      </c>
      <c r="F32" s="139"/>
      <c r="G32" s="91">
        <v>4.75</v>
      </c>
      <c r="H32" s="90"/>
      <c r="I32" s="145">
        <f t="shared" si="1"/>
        <v>9.5</v>
      </c>
      <c r="J32" s="143"/>
      <c r="K32" s="102"/>
      <c r="L32" s="121"/>
      <c r="M32" s="121"/>
      <c r="N32" s="121"/>
    </row>
    <row r="33" spans="1:14" ht="12">
      <c r="A33" s="78" t="s">
        <v>332</v>
      </c>
      <c r="B33" s="139"/>
      <c r="C33" s="147">
        <v>1.5</v>
      </c>
      <c r="D33" s="139"/>
      <c r="E33" s="89" t="s">
        <v>207</v>
      </c>
      <c r="F33" s="139"/>
      <c r="G33" s="91">
        <v>4.65</v>
      </c>
      <c r="H33" s="139"/>
      <c r="I33" s="145">
        <f t="shared" si="1"/>
        <v>6.9750000000000005</v>
      </c>
      <c r="J33" s="143"/>
      <c r="K33" s="102"/>
      <c r="L33" s="121"/>
      <c r="M33" s="121"/>
      <c r="N33" s="121"/>
    </row>
    <row r="34" spans="1:14" ht="12">
      <c r="A34" s="79" t="s">
        <v>230</v>
      </c>
      <c r="B34" s="139"/>
      <c r="C34" s="79">
        <v>1.6</v>
      </c>
      <c r="D34" s="64"/>
      <c r="E34" s="80" t="s">
        <v>133</v>
      </c>
      <c r="F34" s="139"/>
      <c r="G34" s="91">
        <v>9.15</v>
      </c>
      <c r="H34" s="139"/>
      <c r="I34" s="145">
        <f t="shared" si="1"/>
        <v>14.64</v>
      </c>
      <c r="J34" s="143"/>
      <c r="K34" s="102"/>
      <c r="L34" s="121"/>
      <c r="M34" s="121"/>
      <c r="N34" s="121"/>
    </row>
    <row r="35" spans="1:14" ht="12">
      <c r="A35" s="79" t="s">
        <v>239</v>
      </c>
      <c r="B35" s="139"/>
      <c r="C35" s="79">
        <v>9.6</v>
      </c>
      <c r="D35" s="64"/>
      <c r="E35" s="80" t="s">
        <v>46</v>
      </c>
      <c r="F35" s="139"/>
      <c r="G35" s="91">
        <v>0.84</v>
      </c>
      <c r="H35" s="139"/>
      <c r="I35" s="145">
        <f>C35*G35</f>
        <v>8.064</v>
      </c>
      <c r="J35" s="143"/>
      <c r="K35" s="102"/>
      <c r="L35" s="121"/>
      <c r="M35" s="121"/>
      <c r="N35" s="121"/>
    </row>
    <row r="36" spans="1:14" ht="12">
      <c r="A36" s="78" t="s">
        <v>333</v>
      </c>
      <c r="B36" s="139"/>
      <c r="C36" s="147">
        <v>3.75</v>
      </c>
      <c r="D36" s="139"/>
      <c r="E36" s="89" t="s">
        <v>46</v>
      </c>
      <c r="F36" s="139"/>
      <c r="G36" s="91">
        <v>1.8</v>
      </c>
      <c r="H36" s="90"/>
      <c r="I36" s="145">
        <f>C36*G36</f>
        <v>6.75</v>
      </c>
      <c r="J36" s="143"/>
      <c r="K36" s="102"/>
      <c r="L36" s="121"/>
      <c r="M36" s="121"/>
      <c r="N36" s="121"/>
    </row>
    <row r="37" spans="1:14" ht="12.75" customHeight="1">
      <c r="A37" s="78" t="s">
        <v>130</v>
      </c>
      <c r="B37" s="139"/>
      <c r="C37" s="147">
        <v>1</v>
      </c>
      <c r="D37" s="139"/>
      <c r="E37" s="89" t="s">
        <v>133</v>
      </c>
      <c r="F37" s="139"/>
      <c r="G37" s="91">
        <v>29.5</v>
      </c>
      <c r="H37" s="139"/>
      <c r="I37" s="145">
        <f>C37*G37</f>
        <v>29.5</v>
      </c>
      <c r="J37" s="143"/>
      <c r="K37" s="102"/>
      <c r="L37" s="121"/>
      <c r="M37" s="121"/>
      <c r="N37" s="121"/>
    </row>
    <row r="38" spans="1:14" ht="6.75" customHeight="1">
      <c r="A38" s="78"/>
      <c r="B38" s="139"/>
      <c r="C38" s="147"/>
      <c r="D38" s="139"/>
      <c r="E38" s="89"/>
      <c r="F38" s="139"/>
      <c r="G38" s="91"/>
      <c r="H38" s="139"/>
      <c r="I38" s="145"/>
      <c r="J38" s="143"/>
      <c r="K38" s="102"/>
      <c r="L38" s="121"/>
      <c r="M38" s="121"/>
      <c r="N38" s="121"/>
    </row>
    <row r="39" spans="1:14" ht="12.75">
      <c r="A39" s="76" t="s">
        <v>43</v>
      </c>
      <c r="B39" s="64"/>
      <c r="C39" s="64"/>
      <c r="D39" s="64"/>
      <c r="E39" s="65"/>
      <c r="F39" s="64"/>
      <c r="G39" s="141"/>
      <c r="H39" s="139"/>
      <c r="I39" s="146">
        <f>SUM(I40:I44)</f>
        <v>106</v>
      </c>
      <c r="J39" s="143"/>
      <c r="K39" s="102"/>
      <c r="L39" s="121"/>
      <c r="M39" s="121"/>
      <c r="N39" s="121"/>
    </row>
    <row r="40" spans="1:11" ht="12">
      <c r="A40" s="78" t="s">
        <v>242</v>
      </c>
      <c r="B40" s="139"/>
      <c r="C40" s="78">
        <v>1</v>
      </c>
      <c r="D40" s="139"/>
      <c r="E40" s="89" t="s">
        <v>39</v>
      </c>
      <c r="F40" s="139"/>
      <c r="G40" s="91">
        <v>32</v>
      </c>
      <c r="H40" s="139"/>
      <c r="I40" s="145">
        <f>C40*G40</f>
        <v>32</v>
      </c>
      <c r="J40" s="143"/>
      <c r="K40" s="130"/>
    </row>
    <row r="41" spans="1:11" ht="12">
      <c r="A41" s="78" t="s">
        <v>18</v>
      </c>
      <c r="B41" s="139"/>
      <c r="C41" s="78">
        <v>2</v>
      </c>
      <c r="D41" s="139"/>
      <c r="E41" s="89" t="s">
        <v>39</v>
      </c>
      <c r="F41" s="139"/>
      <c r="G41" s="91">
        <v>9.5</v>
      </c>
      <c r="H41" s="90"/>
      <c r="I41" s="145">
        <f>C41*G41</f>
        <v>19</v>
      </c>
      <c r="J41" s="143"/>
      <c r="K41" s="130"/>
    </row>
    <row r="42" spans="1:11" ht="12">
      <c r="A42" s="78" t="s">
        <v>240</v>
      </c>
      <c r="B42" s="139"/>
      <c r="C42" s="78">
        <v>1</v>
      </c>
      <c r="D42" s="139"/>
      <c r="E42" s="89" t="s">
        <v>39</v>
      </c>
      <c r="F42" s="139"/>
      <c r="G42" s="91">
        <v>22</v>
      </c>
      <c r="H42" s="90"/>
      <c r="I42" s="145">
        <f>C42*G42</f>
        <v>22</v>
      </c>
      <c r="J42" s="143"/>
      <c r="K42" s="130"/>
    </row>
    <row r="43" spans="1:11" ht="12">
      <c r="A43" s="78" t="s">
        <v>20</v>
      </c>
      <c r="B43" s="139"/>
      <c r="C43" s="78">
        <v>3</v>
      </c>
      <c r="D43" s="139"/>
      <c r="E43" s="89" t="s">
        <v>39</v>
      </c>
      <c r="F43" s="139"/>
      <c r="G43" s="91">
        <v>11</v>
      </c>
      <c r="H43" s="90"/>
      <c r="I43" s="145">
        <f>C43*G43</f>
        <v>33</v>
      </c>
      <c r="J43" s="143"/>
      <c r="K43" s="130"/>
    </row>
    <row r="44" spans="1:11" ht="12">
      <c r="A44" s="78"/>
      <c r="B44" s="139"/>
      <c r="C44" s="78"/>
      <c r="D44" s="139"/>
      <c r="E44" s="89"/>
      <c r="F44" s="139"/>
      <c r="G44" s="91"/>
      <c r="H44" s="139"/>
      <c r="I44" s="145">
        <f>C44*G44</f>
        <v>0</v>
      </c>
      <c r="J44" s="143"/>
      <c r="K44" s="130"/>
    </row>
    <row r="45" spans="1:11" ht="8.25" customHeight="1">
      <c r="A45" s="64"/>
      <c r="B45" s="64"/>
      <c r="C45" s="64"/>
      <c r="D45" s="64"/>
      <c r="E45" s="65"/>
      <c r="F45" s="64"/>
      <c r="G45" s="141"/>
      <c r="H45" s="139"/>
      <c r="I45" s="145"/>
      <c r="J45" s="143"/>
      <c r="K45" s="130"/>
    </row>
    <row r="46" spans="1:11" ht="12.75">
      <c r="A46" s="76" t="s">
        <v>22</v>
      </c>
      <c r="B46" s="64"/>
      <c r="C46" s="64"/>
      <c r="D46" s="64"/>
      <c r="E46" s="65"/>
      <c r="F46" s="64"/>
      <c r="G46" s="141"/>
      <c r="H46" s="139"/>
      <c r="I46" s="146">
        <f>SUM(I47:I49)</f>
        <v>112.35</v>
      </c>
      <c r="J46" s="143"/>
      <c r="K46" s="130"/>
    </row>
    <row r="47" spans="1:11" ht="12">
      <c r="A47" s="79" t="s">
        <v>21</v>
      </c>
      <c r="B47" s="64"/>
      <c r="C47" s="78">
        <v>1</v>
      </c>
      <c r="D47" s="139"/>
      <c r="E47" s="89" t="s">
        <v>39</v>
      </c>
      <c r="F47" s="139"/>
      <c r="G47" s="91">
        <v>45.85</v>
      </c>
      <c r="H47" s="139"/>
      <c r="I47" s="145">
        <f>C47*G47</f>
        <v>45.85</v>
      </c>
      <c r="J47" s="143"/>
      <c r="K47" s="130"/>
    </row>
    <row r="48" spans="1:11" ht="12">
      <c r="A48" s="79" t="s">
        <v>41</v>
      </c>
      <c r="B48" s="64"/>
      <c r="C48" s="78">
        <v>35</v>
      </c>
      <c r="D48" s="139"/>
      <c r="E48" s="89" t="s">
        <v>40</v>
      </c>
      <c r="F48" s="139"/>
      <c r="G48" s="91">
        <v>1.45</v>
      </c>
      <c r="H48" s="139"/>
      <c r="I48" s="145">
        <f>C48*G48</f>
        <v>50.75</v>
      </c>
      <c r="J48" s="143"/>
      <c r="K48" s="130"/>
    </row>
    <row r="49" spans="1:11" ht="12">
      <c r="A49" s="79" t="s">
        <v>160</v>
      </c>
      <c r="B49" s="64"/>
      <c r="C49" s="78">
        <v>35</v>
      </c>
      <c r="D49" s="139"/>
      <c r="E49" s="89" t="s">
        <v>40</v>
      </c>
      <c r="F49" s="139"/>
      <c r="G49" s="81">
        <v>0.45</v>
      </c>
      <c r="H49" s="139"/>
      <c r="I49" s="145">
        <f>C49*G49</f>
        <v>15.75</v>
      </c>
      <c r="J49" s="143"/>
      <c r="K49" s="130"/>
    </row>
    <row r="50" spans="1:11" ht="5.25" customHeight="1">
      <c r="A50" s="64"/>
      <c r="B50" s="64"/>
      <c r="C50" s="64"/>
      <c r="D50" s="64"/>
      <c r="E50" s="65"/>
      <c r="F50" s="64"/>
      <c r="G50" s="141"/>
      <c r="H50" s="139"/>
      <c r="I50" s="145"/>
      <c r="J50" s="143"/>
      <c r="K50" s="130"/>
    </row>
    <row r="51" spans="1:11" ht="12.75">
      <c r="A51" s="76" t="s">
        <v>149</v>
      </c>
      <c r="B51" s="64"/>
      <c r="C51" s="148"/>
      <c r="D51" s="64"/>
      <c r="E51" s="65"/>
      <c r="F51" s="64"/>
      <c r="G51" s="141"/>
      <c r="H51" s="139"/>
      <c r="I51" s="146">
        <f>SUM(I52:I56)</f>
        <v>207.94</v>
      </c>
      <c r="J51" s="143"/>
      <c r="K51" s="130"/>
    </row>
    <row r="52" spans="1:11" ht="12">
      <c r="A52" s="78" t="s">
        <v>150</v>
      </c>
      <c r="B52" s="139"/>
      <c r="C52" s="83">
        <v>2.52</v>
      </c>
      <c r="D52" s="139"/>
      <c r="E52" s="89" t="s">
        <v>91</v>
      </c>
      <c r="F52" s="139"/>
      <c r="G52" s="91">
        <f>FuelGas</f>
        <v>3.7</v>
      </c>
      <c r="H52" s="139"/>
      <c r="I52" s="145">
        <f>C52*G52</f>
        <v>9.324</v>
      </c>
      <c r="J52" s="143"/>
      <c r="K52" s="130"/>
    </row>
    <row r="53" spans="1:11" ht="12">
      <c r="A53" s="78" t="s">
        <v>151</v>
      </c>
      <c r="B53" s="139"/>
      <c r="C53" s="83">
        <v>28.01</v>
      </c>
      <c r="D53" s="139"/>
      <c r="E53" s="89" t="s">
        <v>91</v>
      </c>
      <c r="F53" s="139"/>
      <c r="G53" s="91">
        <f>FuelD</f>
        <v>3.6</v>
      </c>
      <c r="H53" s="139"/>
      <c r="I53" s="145">
        <f>C53*G53</f>
        <v>100.83600000000001</v>
      </c>
      <c r="J53" s="143"/>
      <c r="K53" s="130"/>
    </row>
    <row r="54" spans="1:11" ht="12">
      <c r="A54" s="78" t="s">
        <v>334</v>
      </c>
      <c r="B54" s="139"/>
      <c r="C54" s="83">
        <v>2.46</v>
      </c>
      <c r="D54" s="139"/>
      <c r="E54" s="89" t="s">
        <v>91</v>
      </c>
      <c r="F54" s="139"/>
      <c r="G54" s="91">
        <v>4</v>
      </c>
      <c r="H54" s="139"/>
      <c r="I54" s="145">
        <f>C54*G54</f>
        <v>9.84</v>
      </c>
      <c r="J54" s="143"/>
      <c r="K54" s="130"/>
    </row>
    <row r="55" spans="1:11" ht="12">
      <c r="A55" s="83" t="s">
        <v>152</v>
      </c>
      <c r="B55" s="139"/>
      <c r="C55" s="78">
        <v>1</v>
      </c>
      <c r="D55" s="139"/>
      <c r="E55" s="89" t="s">
        <v>39</v>
      </c>
      <c r="F55" s="139"/>
      <c r="G55" s="91">
        <v>17.5</v>
      </c>
      <c r="H55" s="139"/>
      <c r="I55" s="145">
        <f>C55*G55</f>
        <v>17.5</v>
      </c>
      <c r="J55" s="143"/>
      <c r="K55" s="130"/>
    </row>
    <row r="56" spans="1:11" ht="12">
      <c r="A56" s="83" t="s">
        <v>26</v>
      </c>
      <c r="B56" s="139"/>
      <c r="C56" s="78">
        <v>1</v>
      </c>
      <c r="D56" s="139"/>
      <c r="E56" s="89" t="s">
        <v>39</v>
      </c>
      <c r="F56" s="139"/>
      <c r="G56" s="91">
        <v>70.44</v>
      </c>
      <c r="H56" s="139"/>
      <c r="I56" s="145">
        <f>C56*G56</f>
        <v>70.44</v>
      </c>
      <c r="J56" s="143"/>
      <c r="K56" s="130"/>
    </row>
    <row r="57" spans="1:11" ht="5.25" customHeight="1">
      <c r="A57" s="94"/>
      <c r="B57" s="93"/>
      <c r="C57" s="94"/>
      <c r="D57" s="93"/>
      <c r="E57" s="96"/>
      <c r="F57" s="93"/>
      <c r="G57" s="150"/>
      <c r="H57" s="139"/>
      <c r="I57" s="145"/>
      <c r="J57" s="143"/>
      <c r="K57" s="130"/>
    </row>
    <row r="58" spans="1:11" ht="12.75">
      <c r="A58" s="76" t="s">
        <v>155</v>
      </c>
      <c r="B58" s="64"/>
      <c r="C58" s="148"/>
      <c r="D58" s="64"/>
      <c r="E58" s="65"/>
      <c r="F58" s="64"/>
      <c r="G58" s="141"/>
      <c r="H58" s="139"/>
      <c r="I58" s="146">
        <f>SUM(I59:I62)</f>
        <v>161.662</v>
      </c>
      <c r="J58" s="143"/>
      <c r="K58" s="130"/>
    </row>
    <row r="59" spans="1:11" ht="12">
      <c r="A59" s="78" t="s">
        <v>156</v>
      </c>
      <c r="B59" s="139"/>
      <c r="C59" s="83">
        <v>3.68</v>
      </c>
      <c r="D59" s="139"/>
      <c r="E59" s="89" t="s">
        <v>42</v>
      </c>
      <c r="F59" s="139"/>
      <c r="G59" s="167">
        <v>16.25</v>
      </c>
      <c r="H59" s="90"/>
      <c r="I59" s="145">
        <f>C59*G59</f>
        <v>59.800000000000004</v>
      </c>
      <c r="J59" s="143"/>
      <c r="K59" s="130"/>
    </row>
    <row r="60" spans="1:11" ht="12">
      <c r="A60" s="78" t="s">
        <v>215</v>
      </c>
      <c r="B60" s="139"/>
      <c r="C60" s="78">
        <v>2.44</v>
      </c>
      <c r="D60" s="139"/>
      <c r="E60" s="89" t="s">
        <v>42</v>
      </c>
      <c r="F60" s="139"/>
      <c r="G60" s="167">
        <v>11.55</v>
      </c>
      <c r="H60" s="90"/>
      <c r="I60" s="145">
        <f>C60*G60</f>
        <v>28.182000000000002</v>
      </c>
      <c r="J60" s="143"/>
      <c r="K60" s="130"/>
    </row>
    <row r="61" spans="1:11" ht="12">
      <c r="A61" s="78" t="s">
        <v>335</v>
      </c>
      <c r="B61" s="139"/>
      <c r="C61" s="78">
        <v>3.17</v>
      </c>
      <c r="D61" s="139"/>
      <c r="E61" s="89" t="s">
        <v>42</v>
      </c>
      <c r="F61" s="139"/>
      <c r="G61" s="167">
        <v>13</v>
      </c>
      <c r="H61" s="90"/>
      <c r="I61" s="145">
        <f>C61*G61</f>
        <v>41.21</v>
      </c>
      <c r="J61" s="143"/>
      <c r="K61" s="130"/>
    </row>
    <row r="62" spans="1:11" ht="12">
      <c r="A62" s="78" t="s">
        <v>336</v>
      </c>
      <c r="B62" s="139"/>
      <c r="C62" s="78">
        <v>3.4</v>
      </c>
      <c r="D62" s="139"/>
      <c r="E62" s="89" t="s">
        <v>42</v>
      </c>
      <c r="F62" s="139"/>
      <c r="G62" s="167">
        <v>9.55</v>
      </c>
      <c r="H62" s="90"/>
      <c r="I62" s="145">
        <f>C62*G62</f>
        <v>32.47</v>
      </c>
      <c r="J62" s="143"/>
      <c r="K62" s="130"/>
    </row>
    <row r="63" spans="1:11" ht="5.25" customHeight="1">
      <c r="A63" s="95"/>
      <c r="B63" s="93"/>
      <c r="C63" s="95"/>
      <c r="D63" s="93"/>
      <c r="E63" s="96"/>
      <c r="F63" s="93"/>
      <c r="G63" s="151"/>
      <c r="H63" s="139"/>
      <c r="I63" s="145"/>
      <c r="J63" s="143"/>
      <c r="K63" s="130"/>
    </row>
    <row r="64" spans="1:11" ht="12.75">
      <c r="A64" s="76" t="s">
        <v>154</v>
      </c>
      <c r="B64" s="64"/>
      <c r="C64" s="93"/>
      <c r="D64" s="64"/>
      <c r="E64" s="65"/>
      <c r="F64" s="64"/>
      <c r="G64" s="152"/>
      <c r="H64" s="139"/>
      <c r="I64" s="146">
        <f>SUM(I65:I66)</f>
        <v>457.92</v>
      </c>
      <c r="J64" s="143"/>
      <c r="K64" s="130"/>
    </row>
    <row r="65" spans="1:11" ht="12">
      <c r="A65" s="83" t="s">
        <v>206</v>
      </c>
      <c r="B65" s="64"/>
      <c r="C65" s="79">
        <v>530</v>
      </c>
      <c r="D65" s="64"/>
      <c r="E65" s="80" t="s">
        <v>9</v>
      </c>
      <c r="F65" s="64"/>
      <c r="G65" s="178">
        <v>0.804</v>
      </c>
      <c r="H65" s="139"/>
      <c r="I65" s="145">
        <f>C65*G65</f>
        <v>426.12</v>
      </c>
      <c r="J65" s="143"/>
      <c r="K65" s="130"/>
    </row>
    <row r="66" spans="1:11" ht="12">
      <c r="A66" s="83" t="s">
        <v>243</v>
      </c>
      <c r="B66" s="64"/>
      <c r="C66" s="79">
        <v>530</v>
      </c>
      <c r="D66" s="64"/>
      <c r="E66" s="80" t="s">
        <v>9</v>
      </c>
      <c r="F66" s="64"/>
      <c r="G66" s="91">
        <v>0.06</v>
      </c>
      <c r="H66" s="139"/>
      <c r="I66" s="145">
        <f>C66*G66</f>
        <v>31.799999999999997</v>
      </c>
      <c r="J66" s="143"/>
      <c r="K66" s="130"/>
    </row>
    <row r="67" spans="1:11" ht="6" customHeight="1">
      <c r="A67" s="94"/>
      <c r="B67" s="93"/>
      <c r="C67" s="95"/>
      <c r="D67" s="93"/>
      <c r="E67" s="96"/>
      <c r="F67" s="93"/>
      <c r="G67" s="98"/>
      <c r="H67" s="139"/>
      <c r="I67" s="145"/>
      <c r="J67" s="143"/>
      <c r="K67" s="130"/>
    </row>
    <row r="68" spans="1:11" ht="12.75">
      <c r="A68" s="76" t="s">
        <v>23</v>
      </c>
      <c r="B68" s="64"/>
      <c r="C68" s="64"/>
      <c r="D68" s="64"/>
      <c r="E68" s="65"/>
      <c r="F68" s="64"/>
      <c r="G68" s="99"/>
      <c r="H68" s="139"/>
      <c r="I68" s="146">
        <f>SUM(I69:I70)</f>
        <v>155.68</v>
      </c>
      <c r="J68" s="143"/>
      <c r="K68" s="130"/>
    </row>
    <row r="69" spans="1:11" ht="12">
      <c r="A69" s="79" t="s">
        <v>24</v>
      </c>
      <c r="B69" s="64"/>
      <c r="C69" s="79">
        <v>1</v>
      </c>
      <c r="D69" s="64"/>
      <c r="E69" s="80" t="s">
        <v>39</v>
      </c>
      <c r="F69" s="64"/>
      <c r="G69" s="81">
        <v>70</v>
      </c>
      <c r="H69" s="139"/>
      <c r="I69" s="145">
        <f>C69*G69</f>
        <v>70</v>
      </c>
      <c r="J69" s="143"/>
      <c r="K69" s="130"/>
    </row>
    <row r="70" spans="1:11" ht="12">
      <c r="A70" s="79" t="s">
        <v>25</v>
      </c>
      <c r="B70" s="64"/>
      <c r="C70" s="79">
        <v>504</v>
      </c>
      <c r="D70" s="64"/>
      <c r="E70" s="80" t="s">
        <v>9</v>
      </c>
      <c r="F70" s="64"/>
      <c r="G70" s="81">
        <v>0.17</v>
      </c>
      <c r="H70" s="139"/>
      <c r="I70" s="145">
        <f>C70*G70</f>
        <v>85.68</v>
      </c>
      <c r="J70" s="143"/>
      <c r="K70" s="130"/>
    </row>
    <row r="71" spans="1:11" ht="4.5" customHeight="1">
      <c r="A71" s="95"/>
      <c r="B71" s="93"/>
      <c r="C71" s="95"/>
      <c r="D71" s="93"/>
      <c r="E71" s="96"/>
      <c r="F71" s="93"/>
      <c r="G71" s="150"/>
      <c r="H71" s="139"/>
      <c r="I71" s="153"/>
      <c r="J71" s="143"/>
      <c r="K71" s="130"/>
    </row>
    <row r="72" spans="1:11" ht="12">
      <c r="A72" s="102" t="s">
        <v>388</v>
      </c>
      <c r="B72" s="64"/>
      <c r="C72" s="233" t="s">
        <v>50</v>
      </c>
      <c r="D72" s="231"/>
      <c r="E72" s="231"/>
      <c r="F72" s="231"/>
      <c r="G72" s="231"/>
      <c r="H72" s="64"/>
      <c r="I72" s="179">
        <f>(I68+I64+I58+I51+I46+I39+I24+I15+I11)*(Oper*0.425)</f>
        <v>78.81262368750001</v>
      </c>
      <c r="J72" s="143"/>
      <c r="K72" s="130"/>
    </row>
    <row r="73" spans="1:11" ht="5.25" customHeight="1">
      <c r="A73" s="64"/>
      <c r="B73" s="64"/>
      <c r="C73" s="64"/>
      <c r="D73" s="64"/>
      <c r="E73" s="65"/>
      <c r="F73" s="64"/>
      <c r="G73" s="64"/>
      <c r="H73" s="64"/>
      <c r="I73" s="145"/>
      <c r="J73" s="143"/>
      <c r="K73" s="130"/>
    </row>
    <row r="74" spans="1:11" ht="12">
      <c r="A74" s="64" t="s">
        <v>27</v>
      </c>
      <c r="B74" s="64"/>
      <c r="C74" s="64"/>
      <c r="D74" s="64"/>
      <c r="E74" s="65"/>
      <c r="F74" s="64"/>
      <c r="G74" s="64"/>
      <c r="H74" s="64"/>
      <c r="I74" s="158">
        <f>SUM(I11:I72)-(I11+I15+I24+I39+I46+I51+I58+I64+I68)</f>
        <v>2826.0936236875004</v>
      </c>
      <c r="J74" s="143"/>
      <c r="K74" s="130"/>
    </row>
    <row r="75" spans="1:11" ht="12">
      <c r="A75" s="64" t="s">
        <v>28</v>
      </c>
      <c r="B75" s="64"/>
      <c r="C75" s="64"/>
      <c r="D75" s="64"/>
      <c r="E75" s="65"/>
      <c r="F75" s="64"/>
      <c r="G75" s="64"/>
      <c r="H75" s="64"/>
      <c r="I75" s="158">
        <f>I74/C7</f>
        <v>5.332252120165095</v>
      </c>
      <c r="J75" s="143"/>
      <c r="K75" s="130"/>
    </row>
    <row r="76" spans="1:11" ht="5.25" customHeight="1">
      <c r="A76" s="64"/>
      <c r="B76" s="64"/>
      <c r="C76" s="64"/>
      <c r="D76" s="64"/>
      <c r="E76" s="65"/>
      <c r="F76" s="64"/>
      <c r="G76" s="64"/>
      <c r="H76" s="64"/>
      <c r="I76" s="145"/>
      <c r="J76" s="143"/>
      <c r="K76" s="130"/>
    </row>
    <row r="77" spans="1:11" ht="12">
      <c r="A77" s="59" t="s">
        <v>29</v>
      </c>
      <c r="B77" s="59"/>
      <c r="C77" s="59"/>
      <c r="D77" s="59"/>
      <c r="E77" s="60"/>
      <c r="F77" s="59"/>
      <c r="G77" s="59"/>
      <c r="H77" s="59"/>
      <c r="I77" s="156">
        <f>I7-I74</f>
        <v>883.9063763124996</v>
      </c>
      <c r="J77" s="143"/>
      <c r="K77" s="130"/>
    </row>
    <row r="78" spans="1:11" ht="5.25" customHeight="1">
      <c r="A78" s="64"/>
      <c r="B78" s="64"/>
      <c r="C78" s="64"/>
      <c r="D78" s="64"/>
      <c r="E78" s="65"/>
      <c r="F78" s="64"/>
      <c r="G78" s="64"/>
      <c r="H78" s="64"/>
      <c r="I78" s="145"/>
      <c r="J78" s="143"/>
      <c r="K78" s="130"/>
    </row>
    <row r="79" spans="1:11" ht="12.75">
      <c r="A79" s="63" t="s">
        <v>30</v>
      </c>
      <c r="B79" s="64"/>
      <c r="C79" s="64"/>
      <c r="D79" s="64"/>
      <c r="E79" s="65"/>
      <c r="F79" s="64"/>
      <c r="G79" s="64"/>
      <c r="H79" s="64"/>
      <c r="I79" s="145"/>
      <c r="J79" s="143"/>
      <c r="K79" s="130"/>
    </row>
    <row r="80" spans="1:11" ht="12">
      <c r="A80" s="236" t="s">
        <v>218</v>
      </c>
      <c r="B80" s="252"/>
      <c r="C80" s="252"/>
      <c r="D80" s="235"/>
      <c r="E80" s="235"/>
      <c r="F80" s="235"/>
      <c r="G80" s="235"/>
      <c r="H80" s="235"/>
      <c r="I80" s="91">
        <v>251</v>
      </c>
      <c r="J80" s="143"/>
      <c r="K80" s="130"/>
    </row>
    <row r="81" spans="1:11" ht="12">
      <c r="A81" s="236" t="s">
        <v>353</v>
      </c>
      <c r="B81" s="252"/>
      <c r="C81" s="252"/>
      <c r="D81" s="235"/>
      <c r="E81" s="235"/>
      <c r="F81" s="235"/>
      <c r="G81" s="235"/>
      <c r="H81" s="235"/>
      <c r="I81" s="91">
        <v>6.56</v>
      </c>
      <c r="J81" s="143"/>
      <c r="K81" s="130"/>
    </row>
    <row r="82" spans="1:11" ht="12">
      <c r="A82" s="252" t="s">
        <v>352</v>
      </c>
      <c r="B82" s="252"/>
      <c r="C82" s="252"/>
      <c r="D82" s="235"/>
      <c r="E82" s="235"/>
      <c r="F82" s="235"/>
      <c r="G82" s="235"/>
      <c r="H82" s="235"/>
      <c r="I82" s="91">
        <v>246</v>
      </c>
      <c r="J82" s="143"/>
      <c r="K82" s="130"/>
    </row>
    <row r="83" spans="1:11" ht="12">
      <c r="A83" s="253" t="s">
        <v>337</v>
      </c>
      <c r="B83" s="253"/>
      <c r="C83" s="253"/>
      <c r="D83" s="235"/>
      <c r="E83" s="235"/>
      <c r="F83" s="235"/>
      <c r="G83" s="235"/>
      <c r="H83" s="235"/>
      <c r="I83" s="83">
        <v>0</v>
      </c>
      <c r="J83" s="143"/>
      <c r="K83" s="130"/>
    </row>
    <row r="84" spans="1:11" ht="12">
      <c r="A84" s="253" t="s">
        <v>44</v>
      </c>
      <c r="B84" s="253"/>
      <c r="C84" s="253"/>
      <c r="D84" s="235"/>
      <c r="E84" s="235"/>
      <c r="F84" s="235"/>
      <c r="G84" s="235"/>
      <c r="H84" s="235"/>
      <c r="I84" s="91">
        <v>700</v>
      </c>
      <c r="J84" s="143"/>
      <c r="K84" s="130"/>
    </row>
    <row r="85" spans="1:11" ht="12">
      <c r="A85" s="253" t="s">
        <v>31</v>
      </c>
      <c r="B85" s="253"/>
      <c r="C85" s="253"/>
      <c r="D85" s="235"/>
      <c r="E85" s="235"/>
      <c r="F85" s="235"/>
      <c r="G85" s="235"/>
      <c r="H85" s="235"/>
      <c r="I85" s="91">
        <v>70</v>
      </c>
      <c r="J85" s="143"/>
      <c r="K85" s="130"/>
    </row>
    <row r="86" spans="1:11" ht="12">
      <c r="A86" s="253" t="s">
        <v>32</v>
      </c>
      <c r="B86" s="253"/>
      <c r="C86" s="253"/>
      <c r="D86" s="235"/>
      <c r="E86" s="235"/>
      <c r="F86" s="235"/>
      <c r="G86" s="235"/>
      <c r="H86" s="235"/>
      <c r="I86" s="91">
        <v>200</v>
      </c>
      <c r="J86" s="143"/>
      <c r="K86" s="130"/>
    </row>
    <row r="87" spans="1:11" ht="12">
      <c r="A87" s="237"/>
      <c r="B87" s="237"/>
      <c r="C87" s="237"/>
      <c r="D87" s="235"/>
      <c r="E87" s="235"/>
      <c r="F87" s="235"/>
      <c r="G87" s="235"/>
      <c r="H87" s="235"/>
      <c r="I87" s="157"/>
      <c r="J87" s="143"/>
      <c r="K87" s="130"/>
    </row>
    <row r="88" spans="1:11" ht="5.25" customHeight="1">
      <c r="A88" s="64"/>
      <c r="B88" s="64"/>
      <c r="C88" s="64"/>
      <c r="D88" s="64"/>
      <c r="E88" s="65"/>
      <c r="F88" s="64"/>
      <c r="G88" s="64"/>
      <c r="H88" s="64"/>
      <c r="I88" s="145"/>
      <c r="J88" s="143"/>
      <c r="K88" s="130"/>
    </row>
    <row r="89" spans="1:11" ht="12.75">
      <c r="A89" s="76" t="s">
        <v>33</v>
      </c>
      <c r="B89" s="64"/>
      <c r="C89" s="64"/>
      <c r="D89" s="64"/>
      <c r="E89" s="65"/>
      <c r="F89" s="64"/>
      <c r="G89" s="64"/>
      <c r="H89" s="64"/>
      <c r="I89" s="158">
        <f>SUM(I79:I87)</f>
        <v>1473.56</v>
      </c>
      <c r="J89" s="143"/>
      <c r="K89" s="130"/>
    </row>
    <row r="90" spans="1:11" ht="12.75">
      <c r="A90" s="76" t="s">
        <v>34</v>
      </c>
      <c r="B90" s="64"/>
      <c r="C90" s="64"/>
      <c r="D90" s="64"/>
      <c r="E90" s="65"/>
      <c r="F90" s="64"/>
      <c r="G90" s="64"/>
      <c r="H90" s="64"/>
      <c r="I90" s="158">
        <f>I89/C7</f>
        <v>2.780301886792453</v>
      </c>
      <c r="J90" s="143"/>
      <c r="K90" s="130"/>
    </row>
    <row r="91" spans="1:11" ht="12">
      <c r="A91" s="64"/>
      <c r="B91" s="64"/>
      <c r="C91" s="64"/>
      <c r="D91" s="64"/>
      <c r="E91" s="65"/>
      <c r="F91" s="64"/>
      <c r="G91" s="64"/>
      <c r="H91" s="64"/>
      <c r="I91" s="158"/>
      <c r="J91" s="143"/>
      <c r="K91" s="130"/>
    </row>
    <row r="92" spans="1:11" ht="12.75">
      <c r="A92" s="76" t="s">
        <v>35</v>
      </c>
      <c r="B92" s="64"/>
      <c r="C92" s="64"/>
      <c r="D92" s="64"/>
      <c r="E92" s="65"/>
      <c r="F92" s="64"/>
      <c r="G92" s="64"/>
      <c r="H92" s="64"/>
      <c r="I92" s="158">
        <f>I74+I89</f>
        <v>4299.6536236875</v>
      </c>
      <c r="J92" s="143"/>
      <c r="K92" s="130"/>
    </row>
    <row r="93" spans="1:11" ht="12.75">
      <c r="A93" s="76" t="s">
        <v>36</v>
      </c>
      <c r="B93" s="64"/>
      <c r="C93" s="64"/>
      <c r="D93" s="64"/>
      <c r="E93" s="65"/>
      <c r="F93" s="64"/>
      <c r="G93" s="64"/>
      <c r="H93" s="64"/>
      <c r="I93" s="158">
        <f>I92/C7</f>
        <v>8.112554006957547</v>
      </c>
      <c r="J93" s="143"/>
      <c r="K93" s="130"/>
    </row>
    <row r="94" spans="1:11" ht="12">
      <c r="A94" s="64"/>
      <c r="B94" s="64"/>
      <c r="C94" s="64"/>
      <c r="D94" s="64"/>
      <c r="E94" s="65"/>
      <c r="F94" s="64"/>
      <c r="G94" s="64"/>
      <c r="H94" s="64"/>
      <c r="I94" s="145"/>
      <c r="J94" s="143"/>
      <c r="K94" s="130"/>
    </row>
    <row r="95" spans="1:11" ht="12">
      <c r="A95" s="64" t="s">
        <v>37</v>
      </c>
      <c r="B95" s="64"/>
      <c r="C95" s="64"/>
      <c r="D95" s="64"/>
      <c r="E95" s="65"/>
      <c r="F95" s="64"/>
      <c r="G95" s="64"/>
      <c r="H95" s="64"/>
      <c r="I95" s="145">
        <f>I7-I92</f>
        <v>-589.6536236874999</v>
      </c>
      <c r="J95" s="143"/>
      <c r="K95" s="130"/>
    </row>
    <row r="96" spans="1:10" ht="12">
      <c r="A96" s="59"/>
      <c r="B96" s="59"/>
      <c r="C96" s="59"/>
      <c r="D96" s="59"/>
      <c r="E96" s="60"/>
      <c r="F96" s="59"/>
      <c r="G96" s="59"/>
      <c r="H96" s="59"/>
      <c r="I96" s="61"/>
      <c r="J96" s="62"/>
    </row>
    <row r="97" spans="1:10" ht="12">
      <c r="A97" s="67" t="s">
        <v>87</v>
      </c>
      <c r="B97" s="67"/>
      <c r="C97" s="67"/>
      <c r="D97" s="67"/>
      <c r="E97" s="72"/>
      <c r="F97" s="67"/>
      <c r="G97" s="67"/>
      <c r="H97" s="67"/>
      <c r="I97" s="67"/>
      <c r="J97" s="105"/>
    </row>
    <row r="98" spans="1:10" ht="13.5">
      <c r="A98" s="241" t="s">
        <v>216</v>
      </c>
      <c r="B98" s="242"/>
      <c r="C98" s="242"/>
      <c r="D98" s="242"/>
      <c r="E98" s="242"/>
      <c r="F98" s="242"/>
      <c r="G98" s="242"/>
      <c r="H98" s="242"/>
      <c r="I98" s="242"/>
      <c r="J98" s="93"/>
    </row>
    <row r="99" spans="1:10" ht="12">
      <c r="A99" s="246"/>
      <c r="B99" s="246"/>
      <c r="C99" s="246"/>
      <c r="D99" s="246"/>
      <c r="E99" s="246"/>
      <c r="F99" s="246"/>
      <c r="G99" s="246"/>
      <c r="H99" s="246"/>
      <c r="I99" s="246"/>
      <c r="J99" s="93"/>
    </row>
    <row r="100" spans="1:10" ht="12">
      <c r="A100" s="247"/>
      <c r="B100" s="247"/>
      <c r="C100" s="247"/>
      <c r="D100" s="247"/>
      <c r="E100" s="247"/>
      <c r="F100" s="247"/>
      <c r="G100" s="247"/>
      <c r="H100" s="247"/>
      <c r="I100" s="247"/>
      <c r="J100" s="93"/>
    </row>
    <row r="101" spans="1:10" ht="12">
      <c r="A101" s="248"/>
      <c r="B101" s="248"/>
      <c r="C101" s="248"/>
      <c r="D101" s="248"/>
      <c r="E101" s="248"/>
      <c r="F101" s="248"/>
      <c r="G101" s="248"/>
      <c r="H101" s="248"/>
      <c r="I101" s="248"/>
      <c r="J101" s="93"/>
    </row>
    <row r="102" spans="1:10" ht="12">
      <c r="A102" s="249"/>
      <c r="B102" s="249"/>
      <c r="C102" s="249"/>
      <c r="D102" s="249"/>
      <c r="E102" s="249"/>
      <c r="F102" s="249"/>
      <c r="G102" s="249"/>
      <c r="H102" s="249"/>
      <c r="I102" s="249"/>
      <c r="J102" s="93"/>
    </row>
    <row r="103" spans="1:10" ht="12">
      <c r="A103" s="64"/>
      <c r="B103" s="64"/>
      <c r="C103" s="64"/>
      <c r="D103" s="64"/>
      <c r="E103" s="65"/>
      <c r="F103" s="64"/>
      <c r="G103" s="64"/>
      <c r="H103" s="64"/>
      <c r="I103" s="64"/>
      <c r="J103" s="93"/>
    </row>
    <row r="104" spans="1:10" ht="12.75">
      <c r="A104" s="106" t="s">
        <v>52</v>
      </c>
      <c r="B104" s="64"/>
      <c r="C104" s="107" t="s">
        <v>56</v>
      </c>
      <c r="D104" s="64"/>
      <c r="E104" s="65" t="s">
        <v>54</v>
      </c>
      <c r="F104" s="64"/>
      <c r="G104" s="107" t="s">
        <v>55</v>
      </c>
      <c r="H104" s="64"/>
      <c r="I104" s="64"/>
      <c r="J104" s="93"/>
    </row>
    <row r="105" spans="1:10" ht="12">
      <c r="A105" s="64"/>
      <c r="B105" s="64"/>
      <c r="C105" s="108">
        <v>0.1</v>
      </c>
      <c r="D105" s="64"/>
      <c r="E105" s="65"/>
      <c r="F105" s="64"/>
      <c r="G105" s="108">
        <v>0.1</v>
      </c>
      <c r="H105" s="64"/>
      <c r="I105" s="64"/>
      <c r="J105" s="93"/>
    </row>
    <row r="106" spans="1:10" ht="12">
      <c r="A106" s="64"/>
      <c r="B106" s="64"/>
      <c r="C106" s="109"/>
      <c r="D106" s="59"/>
      <c r="E106" s="58" t="s">
        <v>53</v>
      </c>
      <c r="F106" s="59"/>
      <c r="G106" s="109"/>
      <c r="H106" s="64"/>
      <c r="I106" s="64"/>
      <c r="J106" s="93"/>
    </row>
    <row r="107" spans="1:10" ht="12">
      <c r="A107" s="110" t="s">
        <v>49</v>
      </c>
      <c r="B107" s="64"/>
      <c r="C107" s="111">
        <f>E107*(1-C105)</f>
        <v>477</v>
      </c>
      <c r="D107" s="112"/>
      <c r="E107" s="113">
        <f>C7</f>
        <v>530</v>
      </c>
      <c r="F107" s="112"/>
      <c r="G107" s="114">
        <f>E107*(1+G105)</f>
        <v>583</v>
      </c>
      <c r="H107" s="64"/>
      <c r="I107" s="64"/>
      <c r="J107" s="93"/>
    </row>
    <row r="108" spans="1:10" ht="4.5" customHeight="1">
      <c r="A108" s="64"/>
      <c r="B108" s="64"/>
      <c r="C108" s="64"/>
      <c r="D108" s="64"/>
      <c r="E108" s="65"/>
      <c r="F108" s="64"/>
      <c r="G108" s="64"/>
      <c r="H108" s="64"/>
      <c r="I108" s="64"/>
      <c r="J108" s="93"/>
    </row>
    <row r="109" spans="1:10" ht="12">
      <c r="A109" s="64" t="s">
        <v>57</v>
      </c>
      <c r="B109" s="64"/>
      <c r="C109" s="115">
        <f>$I$74/C107</f>
        <v>5.924724577961217</v>
      </c>
      <c r="D109" s="64"/>
      <c r="E109" s="115">
        <f>$I$74/E107</f>
        <v>5.332252120165095</v>
      </c>
      <c r="F109" s="64"/>
      <c r="G109" s="115">
        <f>$I$74/G107</f>
        <v>4.8475019274228135</v>
      </c>
      <c r="H109" s="64"/>
      <c r="I109" s="64"/>
      <c r="J109" s="93"/>
    </row>
    <row r="110" spans="1:10" ht="4.5" customHeight="1">
      <c r="A110" s="64"/>
      <c r="B110" s="64"/>
      <c r="C110" s="64"/>
      <c r="D110" s="64"/>
      <c r="E110" s="65"/>
      <c r="F110" s="64"/>
      <c r="G110" s="64"/>
      <c r="H110" s="64"/>
      <c r="I110" s="64"/>
      <c r="J110" s="93"/>
    </row>
    <row r="111" spans="1:10" ht="12">
      <c r="A111" s="64" t="s">
        <v>58</v>
      </c>
      <c r="B111" s="64"/>
      <c r="C111" s="115">
        <f>$I$89/C107</f>
        <v>3.089224318658281</v>
      </c>
      <c r="D111" s="64"/>
      <c r="E111" s="115">
        <f>$I$89/E107</f>
        <v>2.780301886792453</v>
      </c>
      <c r="F111" s="64"/>
      <c r="G111" s="115">
        <f>$I$89/G107</f>
        <v>2.5275471698113208</v>
      </c>
      <c r="H111" s="64"/>
      <c r="I111" s="64"/>
      <c r="J111" s="93"/>
    </row>
    <row r="112" spans="1:10" ht="3.75" customHeight="1">
      <c r="A112" s="64"/>
      <c r="B112" s="64"/>
      <c r="C112" s="64"/>
      <c r="D112" s="64"/>
      <c r="E112" s="65"/>
      <c r="F112" s="64"/>
      <c r="G112" s="64"/>
      <c r="H112" s="64"/>
      <c r="I112" s="64"/>
      <c r="J112" s="93"/>
    </row>
    <row r="113" spans="1:10" ht="12">
      <c r="A113" s="64" t="s">
        <v>59</v>
      </c>
      <c r="B113" s="64"/>
      <c r="C113" s="115">
        <f>$I$92/C107</f>
        <v>9.013948896619496</v>
      </c>
      <c r="D113" s="64"/>
      <c r="E113" s="115">
        <f>$I$92/E107</f>
        <v>8.112554006957547</v>
      </c>
      <c r="F113" s="64"/>
      <c r="G113" s="115">
        <f>$I$92/G107</f>
        <v>7.375049097234133</v>
      </c>
      <c r="H113" s="64"/>
      <c r="I113" s="64"/>
      <c r="J113" s="93"/>
    </row>
    <row r="114" spans="1:10" ht="5.25" customHeight="1">
      <c r="A114" s="67"/>
      <c r="B114" s="67"/>
      <c r="C114" s="67"/>
      <c r="D114" s="67"/>
      <c r="E114" s="72"/>
      <c r="F114" s="67"/>
      <c r="G114" s="67"/>
      <c r="H114" s="67"/>
      <c r="I114" s="67"/>
      <c r="J114" s="93"/>
    </row>
    <row r="115" spans="1:10" ht="12">
      <c r="A115" s="64"/>
      <c r="B115" s="64"/>
      <c r="C115" s="64"/>
      <c r="D115" s="64"/>
      <c r="E115" s="65"/>
      <c r="F115" s="64"/>
      <c r="G115" s="64"/>
      <c r="H115" s="64"/>
      <c r="I115" s="64"/>
      <c r="J115" s="93"/>
    </row>
    <row r="116" spans="1:10" ht="12">
      <c r="A116" s="64"/>
      <c r="B116" s="64"/>
      <c r="C116" s="59"/>
      <c r="D116" s="59"/>
      <c r="E116" s="60" t="s">
        <v>49</v>
      </c>
      <c r="F116" s="59"/>
      <c r="G116" s="59"/>
      <c r="H116" s="64"/>
      <c r="I116" s="64"/>
      <c r="J116" s="93"/>
    </row>
    <row r="117" spans="1:10" ht="12">
      <c r="A117" s="110" t="s">
        <v>53</v>
      </c>
      <c r="B117" s="64"/>
      <c r="C117" s="116">
        <f>E117*(1-C105)</f>
        <v>6.3</v>
      </c>
      <c r="D117" s="112"/>
      <c r="E117" s="117">
        <f>G7</f>
        <v>7</v>
      </c>
      <c r="F117" s="112"/>
      <c r="G117" s="116">
        <f>E117*(1+G105)</f>
        <v>7.700000000000001</v>
      </c>
      <c r="H117" s="64"/>
      <c r="I117" s="64"/>
      <c r="J117" s="93"/>
    </row>
    <row r="118" spans="1:10" ht="4.5" customHeight="1">
      <c r="A118" s="64"/>
      <c r="B118" s="64"/>
      <c r="C118" s="64"/>
      <c r="D118" s="64"/>
      <c r="E118" s="65"/>
      <c r="F118" s="64"/>
      <c r="G118" s="64"/>
      <c r="H118" s="64"/>
      <c r="I118" s="64"/>
      <c r="J118" s="93"/>
    </row>
    <row r="119" spans="1:10" ht="12">
      <c r="A119" s="64" t="s">
        <v>57</v>
      </c>
      <c r="B119" s="64"/>
      <c r="C119" s="118">
        <f>$I$74/C117</f>
        <v>448.5862894742064</v>
      </c>
      <c r="D119" s="64"/>
      <c r="E119" s="118">
        <f>$I$74/E117</f>
        <v>403.72766052678577</v>
      </c>
      <c r="F119" s="64"/>
      <c r="G119" s="118">
        <f>$I$74/G117</f>
        <v>367.0251459334416</v>
      </c>
      <c r="H119" s="64"/>
      <c r="I119" s="64"/>
      <c r="J119" s="93"/>
    </row>
    <row r="120" spans="1:10" ht="3" customHeight="1">
      <c r="A120" s="64"/>
      <c r="B120" s="64"/>
      <c r="C120" s="64"/>
      <c r="D120" s="64"/>
      <c r="E120" s="65"/>
      <c r="F120" s="64"/>
      <c r="G120" s="64"/>
      <c r="H120" s="64"/>
      <c r="I120" s="64"/>
      <c r="J120" s="93"/>
    </row>
    <row r="121" spans="1:10" ht="12">
      <c r="A121" s="64" t="s">
        <v>58</v>
      </c>
      <c r="B121" s="64"/>
      <c r="C121" s="118">
        <f>$I$89/C117</f>
        <v>233.8984126984127</v>
      </c>
      <c r="D121" s="64"/>
      <c r="E121" s="118">
        <f>$I$89/E117</f>
        <v>210.50857142857143</v>
      </c>
      <c r="F121" s="64"/>
      <c r="G121" s="118">
        <f>$I$89/G117</f>
        <v>191.37142857142854</v>
      </c>
      <c r="H121" s="64"/>
      <c r="I121" s="64"/>
      <c r="J121" s="93"/>
    </row>
    <row r="122" spans="1:10" ht="3.75" customHeight="1">
      <c r="A122" s="64"/>
      <c r="B122" s="64"/>
      <c r="C122" s="64"/>
      <c r="D122" s="64"/>
      <c r="E122" s="65"/>
      <c r="F122" s="64"/>
      <c r="G122" s="64"/>
      <c r="H122" s="64"/>
      <c r="I122" s="64"/>
      <c r="J122" s="93"/>
    </row>
    <row r="123" spans="1:10" ht="12">
      <c r="A123" s="64" t="s">
        <v>59</v>
      </c>
      <c r="B123" s="64"/>
      <c r="C123" s="118">
        <f>$I$92/C117</f>
        <v>682.4847021726191</v>
      </c>
      <c r="D123" s="64"/>
      <c r="E123" s="118">
        <f>$I$92/E117</f>
        <v>614.2362319553571</v>
      </c>
      <c r="F123" s="64"/>
      <c r="G123" s="118">
        <f>$I$92/G117</f>
        <v>558.39657450487</v>
      </c>
      <c r="H123" s="64"/>
      <c r="I123" s="64"/>
      <c r="J123" s="93"/>
    </row>
    <row r="124" spans="1:10" ht="5.25" customHeight="1">
      <c r="A124" s="64"/>
      <c r="B124" s="64"/>
      <c r="C124" s="64"/>
      <c r="D124" s="64"/>
      <c r="E124" s="65"/>
      <c r="F124" s="64"/>
      <c r="G124" s="64"/>
      <c r="H124" s="64"/>
      <c r="I124" s="64"/>
      <c r="J124" s="93"/>
    </row>
    <row r="125" spans="1:10" ht="12">
      <c r="A125" s="59"/>
      <c r="B125" s="59"/>
      <c r="C125" s="59"/>
      <c r="D125" s="59"/>
      <c r="E125" s="60"/>
      <c r="F125" s="59"/>
      <c r="G125" s="59"/>
      <c r="H125" s="59"/>
      <c r="I125" s="59"/>
      <c r="J125" s="93"/>
    </row>
    <row r="126" spans="1:10" ht="12">
      <c r="A126" s="64"/>
      <c r="B126" s="64"/>
      <c r="C126" s="64"/>
      <c r="D126" s="64"/>
      <c r="E126" s="65"/>
      <c r="F126" s="64"/>
      <c r="G126" s="64"/>
      <c r="H126" s="64"/>
      <c r="I126" s="64"/>
      <c r="J126" s="93"/>
    </row>
  </sheetData>
  <sheetProtection/>
  <mergeCells count="23">
    <mergeCell ref="A98:I98"/>
    <mergeCell ref="A99:I99"/>
    <mergeCell ref="A100:I100"/>
    <mergeCell ref="A101:I101"/>
    <mergeCell ref="A102:I102"/>
    <mergeCell ref="A85:C85"/>
    <mergeCell ref="D85:H85"/>
    <mergeCell ref="A86:C86"/>
    <mergeCell ref="D86:H86"/>
    <mergeCell ref="A87:C87"/>
    <mergeCell ref="D87:H87"/>
    <mergeCell ref="A82:C82"/>
    <mergeCell ref="D82:H82"/>
    <mergeCell ref="A83:C83"/>
    <mergeCell ref="D83:H83"/>
    <mergeCell ref="A84:C84"/>
    <mergeCell ref="D84:H84"/>
    <mergeCell ref="A1:J1"/>
    <mergeCell ref="C72:G72"/>
    <mergeCell ref="A80:C80"/>
    <mergeCell ref="D80:H80"/>
    <mergeCell ref="A81:C81"/>
    <mergeCell ref="D81:H81"/>
  </mergeCells>
  <printOptions/>
  <pageMargins left="1.25" right="0.75" top="0.5" bottom="0.5" header="0.5" footer="0.5"/>
  <pageSetup horizontalDpi="600" verticalDpi="600" orientation="portrait" scale="71" r:id="rId1"/>
  <headerFooter alignWithMargins="0">
    <oddFooter>&amp;L&amp;A&amp;CUniversity of Idaho&amp;RAERS Dept</oddFooter>
  </headerFooter>
  <rowBreaks count="1" manualBreakCount="1">
    <brk id="78" max="255" man="1"/>
  </rowBreaks>
</worksheet>
</file>

<file path=xl/worksheets/sheet12.xml><?xml version="1.0" encoding="utf-8"?>
<worksheet xmlns="http://schemas.openxmlformats.org/spreadsheetml/2006/main" xmlns:r="http://schemas.openxmlformats.org/officeDocument/2006/relationships">
  <sheetPr>
    <tabColor rgb="FFFFFF00"/>
  </sheetPr>
  <dimension ref="A1:Q126"/>
  <sheetViews>
    <sheetView zoomScalePageLayoutView="0" workbookViewId="0" topLeftCell="A22">
      <selection activeCell="G64" sqref="G64"/>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7109375" style="36" customWidth="1"/>
    <col min="12" max="12" width="10.140625" style="36" bestFit="1" customWidth="1"/>
    <col min="13" max="16384" width="9.140625" style="36" customWidth="1"/>
  </cols>
  <sheetData>
    <row r="1" spans="1:12" ht="33.75" customHeight="1">
      <c r="A1" s="230" t="s">
        <v>354</v>
      </c>
      <c r="B1" s="230"/>
      <c r="C1" s="230"/>
      <c r="D1" s="230"/>
      <c r="E1" s="230"/>
      <c r="F1" s="230"/>
      <c r="G1" s="230"/>
      <c r="H1" s="230"/>
      <c r="I1" s="230"/>
      <c r="J1" s="230"/>
      <c r="L1" s="176">
        <v>40247</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66" t="s">
        <v>219</v>
      </c>
      <c r="B7" s="67"/>
      <c r="C7" s="162">
        <v>36</v>
      </c>
      <c r="D7" s="67"/>
      <c r="E7" s="122" t="s">
        <v>64</v>
      </c>
      <c r="F7" s="67"/>
      <c r="G7" s="69">
        <v>45</v>
      </c>
      <c r="H7" s="67"/>
      <c r="I7" s="70">
        <f>C7*G7</f>
        <v>1620</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91.52000000000001</v>
      </c>
      <c r="J11" s="56"/>
    </row>
    <row r="12" spans="1:12" ht="12">
      <c r="A12" s="78" t="s">
        <v>234</v>
      </c>
      <c r="B12" s="64"/>
      <c r="C12" s="79">
        <v>0.44</v>
      </c>
      <c r="D12" s="64"/>
      <c r="E12" s="80" t="s">
        <v>65</v>
      </c>
      <c r="F12" s="64"/>
      <c r="G12" s="91">
        <v>102</v>
      </c>
      <c r="H12" s="64"/>
      <c r="I12" s="75">
        <f>C12*G12</f>
        <v>44.88</v>
      </c>
      <c r="J12" s="56"/>
      <c r="K12" s="121"/>
      <c r="L12" s="121"/>
    </row>
    <row r="13" spans="1:10" ht="12">
      <c r="A13" s="78" t="s">
        <v>220</v>
      </c>
      <c r="B13" s="64"/>
      <c r="C13" s="79">
        <v>0.44</v>
      </c>
      <c r="D13" s="64"/>
      <c r="E13" s="89" t="s">
        <v>65</v>
      </c>
      <c r="F13" s="64"/>
      <c r="G13" s="168">
        <v>106</v>
      </c>
      <c r="H13" s="64"/>
      <c r="I13" s="75">
        <f>C13*G13</f>
        <v>46.64</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180.2</v>
      </c>
      <c r="J15" s="56"/>
    </row>
    <row r="16" spans="1:10" ht="12">
      <c r="A16" s="79" t="s">
        <v>74</v>
      </c>
      <c r="B16" s="64"/>
      <c r="C16" s="79">
        <v>100</v>
      </c>
      <c r="D16" s="64"/>
      <c r="E16" s="80" t="s">
        <v>38</v>
      </c>
      <c r="F16" s="64"/>
      <c r="G16" s="91">
        <f>DN</f>
        <v>0.66</v>
      </c>
      <c r="H16" s="64"/>
      <c r="I16" s="75">
        <f aca="true" t="shared" si="0" ref="I16:I21">C16*G16</f>
        <v>66</v>
      </c>
      <c r="J16" s="56"/>
    </row>
    <row r="17" spans="1:10" ht="12">
      <c r="A17" s="78" t="s">
        <v>15</v>
      </c>
      <c r="B17" s="64"/>
      <c r="C17" s="79">
        <v>35</v>
      </c>
      <c r="D17" s="64"/>
      <c r="E17" s="80" t="s">
        <v>38</v>
      </c>
      <c r="F17" s="64"/>
      <c r="G17" s="91">
        <f>LN</f>
        <v>0.82</v>
      </c>
      <c r="H17" s="64"/>
      <c r="I17" s="75">
        <f t="shared" si="0"/>
        <v>28.7</v>
      </c>
      <c r="J17" s="56"/>
    </row>
    <row r="18" spans="1:10" ht="12">
      <c r="A18" s="79" t="s">
        <v>72</v>
      </c>
      <c r="B18" s="64"/>
      <c r="C18" s="79">
        <v>50</v>
      </c>
      <c r="D18" s="64"/>
      <c r="E18" s="80" t="s">
        <v>38</v>
      </c>
      <c r="F18" s="64"/>
      <c r="G18" s="91">
        <f>Dry</f>
        <v>0.53</v>
      </c>
      <c r="H18" s="64"/>
      <c r="I18" s="85">
        <f t="shared" si="0"/>
        <v>26.5</v>
      </c>
      <c r="J18" s="56"/>
    </row>
    <row r="19" spans="1:10" ht="12">
      <c r="A19" s="79" t="s">
        <v>13</v>
      </c>
      <c r="B19" s="64"/>
      <c r="C19" s="79">
        <v>100</v>
      </c>
      <c r="D19" s="64"/>
      <c r="E19" s="80" t="s">
        <v>38</v>
      </c>
      <c r="F19" s="64"/>
      <c r="G19" s="91">
        <f>K</f>
        <v>0.5</v>
      </c>
      <c r="H19" s="64"/>
      <c r="I19" s="85">
        <f t="shared" si="0"/>
        <v>50</v>
      </c>
      <c r="J19" s="56"/>
    </row>
    <row r="20" spans="1:10" ht="12">
      <c r="A20" s="78" t="s">
        <v>16</v>
      </c>
      <c r="B20" s="64"/>
      <c r="C20" s="88">
        <v>1.5</v>
      </c>
      <c r="D20" s="64"/>
      <c r="E20" s="89" t="s">
        <v>39</v>
      </c>
      <c r="F20" s="64"/>
      <c r="G20" s="91">
        <f>Micron</f>
        <v>6</v>
      </c>
      <c r="H20" s="64"/>
      <c r="I20" s="85">
        <f t="shared" si="0"/>
        <v>9</v>
      </c>
      <c r="J20" s="56"/>
    </row>
    <row r="21" spans="1:10" ht="12">
      <c r="A21" s="88"/>
      <c r="B21" s="64"/>
      <c r="C21" s="79"/>
      <c r="D21" s="64"/>
      <c r="E21" s="80"/>
      <c r="F21" s="64"/>
      <c r="G21" s="91"/>
      <c r="H21" s="64"/>
      <c r="I21" s="85">
        <f t="shared" si="0"/>
        <v>0</v>
      </c>
      <c r="J21" s="56"/>
    </row>
    <row r="22" spans="1:10" ht="12">
      <c r="A22" s="64"/>
      <c r="B22" s="64"/>
      <c r="C22" s="64"/>
      <c r="D22" s="64"/>
      <c r="E22" s="65"/>
      <c r="F22" s="64"/>
      <c r="G22" s="74"/>
      <c r="H22" s="64"/>
      <c r="I22" s="85"/>
      <c r="J22" s="56"/>
    </row>
    <row r="23" spans="1:10" ht="12.75">
      <c r="A23" s="76" t="s">
        <v>17</v>
      </c>
      <c r="B23" s="64"/>
      <c r="C23" s="64"/>
      <c r="D23" s="64"/>
      <c r="E23" s="65"/>
      <c r="F23" s="64"/>
      <c r="G23" s="74"/>
      <c r="H23" s="64"/>
      <c r="I23" s="86">
        <f>SUM(I24:I32)</f>
        <v>411.099</v>
      </c>
      <c r="J23" s="56"/>
    </row>
    <row r="24" spans="1:10" ht="12">
      <c r="A24" s="83" t="s">
        <v>221</v>
      </c>
      <c r="B24" s="64"/>
      <c r="C24" s="79">
        <v>20</v>
      </c>
      <c r="D24" s="64"/>
      <c r="E24" s="89" t="s">
        <v>91</v>
      </c>
      <c r="F24" s="64"/>
      <c r="G24" s="91">
        <v>11.9</v>
      </c>
      <c r="H24" s="64"/>
      <c r="I24" s="85">
        <f aca="true" t="shared" si="1" ref="I24:I32">C24*G24</f>
        <v>238</v>
      </c>
      <c r="J24" s="56"/>
    </row>
    <row r="25" spans="1:13" ht="12">
      <c r="A25" s="83" t="s">
        <v>256</v>
      </c>
      <c r="B25" s="64"/>
      <c r="C25" s="79">
        <v>0.44</v>
      </c>
      <c r="D25" s="64"/>
      <c r="E25" s="80" t="s">
        <v>65</v>
      </c>
      <c r="F25" s="64"/>
      <c r="G25" s="91">
        <v>49.5</v>
      </c>
      <c r="H25" s="64"/>
      <c r="I25" s="85">
        <f>C25*G25</f>
        <v>21.78</v>
      </c>
      <c r="J25" s="56"/>
      <c r="K25" s="121"/>
      <c r="L25" s="121"/>
      <c r="M25" s="121"/>
    </row>
    <row r="26" spans="1:10" ht="12">
      <c r="A26" s="78" t="s">
        <v>136</v>
      </c>
      <c r="B26" s="64"/>
      <c r="C26" s="79">
        <v>54</v>
      </c>
      <c r="D26" s="64"/>
      <c r="E26" s="89" t="s">
        <v>46</v>
      </c>
      <c r="F26" s="64"/>
      <c r="G26" s="91">
        <v>0.5</v>
      </c>
      <c r="H26" s="64"/>
      <c r="I26" s="85">
        <f>C26*G26</f>
        <v>27</v>
      </c>
      <c r="J26" s="56"/>
    </row>
    <row r="27" spans="1:10" ht="12">
      <c r="A27" s="78" t="s">
        <v>222</v>
      </c>
      <c r="B27" s="64"/>
      <c r="C27" s="164">
        <v>2.4</v>
      </c>
      <c r="D27" s="64"/>
      <c r="E27" s="89" t="s">
        <v>38</v>
      </c>
      <c r="F27" s="64"/>
      <c r="G27" s="91">
        <v>0.4</v>
      </c>
      <c r="H27" s="64"/>
      <c r="I27" s="85">
        <f t="shared" si="1"/>
        <v>0.96</v>
      </c>
      <c r="J27" s="56"/>
    </row>
    <row r="28" spans="1:10" ht="12">
      <c r="A28" s="78" t="s">
        <v>223</v>
      </c>
      <c r="B28" s="64"/>
      <c r="C28" s="164">
        <v>3.7</v>
      </c>
      <c r="D28" s="64"/>
      <c r="E28" s="89" t="s">
        <v>133</v>
      </c>
      <c r="F28" s="64"/>
      <c r="G28" s="91">
        <v>12.07</v>
      </c>
      <c r="H28" s="64"/>
      <c r="I28" s="85">
        <f t="shared" si="1"/>
        <v>44.659000000000006</v>
      </c>
      <c r="J28" s="56"/>
    </row>
    <row r="29" spans="1:10" ht="12">
      <c r="A29" s="83" t="s">
        <v>147</v>
      </c>
      <c r="B29" s="64"/>
      <c r="C29" s="79">
        <v>1</v>
      </c>
      <c r="D29" s="64"/>
      <c r="E29" s="89" t="s">
        <v>207</v>
      </c>
      <c r="F29" s="64"/>
      <c r="G29" s="91">
        <v>3.1</v>
      </c>
      <c r="H29" s="64"/>
      <c r="I29" s="85">
        <f t="shared" si="1"/>
        <v>3.1</v>
      </c>
      <c r="J29" s="56"/>
    </row>
    <row r="30" spans="1:10" ht="12">
      <c r="A30" s="83" t="s">
        <v>255</v>
      </c>
      <c r="B30" s="64"/>
      <c r="C30" s="87">
        <v>9</v>
      </c>
      <c r="D30" s="64"/>
      <c r="E30" s="89" t="s">
        <v>46</v>
      </c>
      <c r="F30" s="64"/>
      <c r="G30" s="91">
        <v>3.2</v>
      </c>
      <c r="H30" s="64"/>
      <c r="I30" s="85">
        <f t="shared" si="1"/>
        <v>28.8</v>
      </c>
      <c r="J30" s="56"/>
    </row>
    <row r="31" spans="1:10" ht="12">
      <c r="A31" s="83" t="s">
        <v>224</v>
      </c>
      <c r="B31" s="64"/>
      <c r="C31" s="79">
        <v>6.5</v>
      </c>
      <c r="D31" s="64"/>
      <c r="E31" s="89" t="s">
        <v>46</v>
      </c>
      <c r="F31" s="64"/>
      <c r="G31" s="91">
        <v>7.2</v>
      </c>
      <c r="H31" s="64"/>
      <c r="I31" s="85">
        <f t="shared" si="1"/>
        <v>46.800000000000004</v>
      </c>
      <c r="J31" s="56"/>
    </row>
    <row r="32" spans="1:10" ht="12">
      <c r="A32" s="78"/>
      <c r="B32" s="64"/>
      <c r="C32" s="79"/>
      <c r="D32" s="64"/>
      <c r="E32" s="80"/>
      <c r="F32" s="64"/>
      <c r="G32" s="81"/>
      <c r="H32" s="64"/>
      <c r="I32" s="85">
        <f t="shared" si="1"/>
        <v>0</v>
      </c>
      <c r="J32" s="56"/>
    </row>
    <row r="33" spans="1:10" ht="5.25" customHeight="1">
      <c r="A33" s="64"/>
      <c r="B33" s="64"/>
      <c r="C33" s="64"/>
      <c r="D33" s="64"/>
      <c r="E33" s="65"/>
      <c r="F33" s="64"/>
      <c r="G33" s="74"/>
      <c r="H33" s="64"/>
      <c r="I33" s="85"/>
      <c r="J33" s="56"/>
    </row>
    <row r="34" spans="1:10" ht="12.75">
      <c r="A34" s="76" t="s">
        <v>43</v>
      </c>
      <c r="B34" s="64"/>
      <c r="C34" s="64"/>
      <c r="D34" s="64"/>
      <c r="E34" s="65"/>
      <c r="F34" s="64"/>
      <c r="G34" s="74"/>
      <c r="H34" s="64"/>
      <c r="I34" s="86">
        <f>SUM(I35:I39)</f>
        <v>90.05000000000001</v>
      </c>
      <c r="J34" s="56"/>
    </row>
    <row r="35" spans="1:10" ht="12">
      <c r="A35" s="79" t="s">
        <v>18</v>
      </c>
      <c r="B35" s="64"/>
      <c r="C35" s="88">
        <v>1</v>
      </c>
      <c r="D35" s="64"/>
      <c r="E35" s="80" t="s">
        <v>39</v>
      </c>
      <c r="F35" s="64"/>
      <c r="G35" s="91">
        <v>8.5</v>
      </c>
      <c r="H35" s="64"/>
      <c r="I35" s="85">
        <f>C35*G35</f>
        <v>8.5</v>
      </c>
      <c r="J35" s="56"/>
    </row>
    <row r="36" spans="1:10" ht="12">
      <c r="A36" s="83" t="s">
        <v>210</v>
      </c>
      <c r="B36" s="93"/>
      <c r="C36" s="88">
        <v>1</v>
      </c>
      <c r="D36" s="64"/>
      <c r="E36" s="80" t="s">
        <v>39</v>
      </c>
      <c r="F36" s="64"/>
      <c r="G36" s="91">
        <v>40</v>
      </c>
      <c r="H36" s="64"/>
      <c r="I36" s="85">
        <f>C36*G36</f>
        <v>40</v>
      </c>
      <c r="J36" s="56"/>
    </row>
    <row r="37" spans="1:10" ht="12">
      <c r="A37" s="88" t="s">
        <v>19</v>
      </c>
      <c r="B37" s="93"/>
      <c r="C37" s="88">
        <v>1</v>
      </c>
      <c r="D37" s="64"/>
      <c r="E37" s="80" t="s">
        <v>39</v>
      </c>
      <c r="F37" s="64"/>
      <c r="G37" s="91">
        <v>20</v>
      </c>
      <c r="H37" s="64"/>
      <c r="I37" s="85">
        <f>C37*G37</f>
        <v>20</v>
      </c>
      <c r="J37" s="56"/>
    </row>
    <row r="38" spans="1:10" ht="12">
      <c r="A38" s="79" t="s">
        <v>83</v>
      </c>
      <c r="B38" s="95"/>
      <c r="C38" s="79">
        <v>1</v>
      </c>
      <c r="D38" s="95"/>
      <c r="E38" s="165" t="s">
        <v>39</v>
      </c>
      <c r="F38" s="95"/>
      <c r="G38" s="91">
        <v>8.9</v>
      </c>
      <c r="H38" s="64"/>
      <c r="I38" s="85">
        <f>C38*G38</f>
        <v>8.9</v>
      </c>
      <c r="J38" s="56"/>
    </row>
    <row r="39" spans="1:10" ht="12">
      <c r="A39" s="79" t="s">
        <v>82</v>
      </c>
      <c r="B39" s="64"/>
      <c r="C39" s="79">
        <v>1</v>
      </c>
      <c r="D39" s="64"/>
      <c r="E39" s="80" t="s">
        <v>39</v>
      </c>
      <c r="F39" s="64"/>
      <c r="G39" s="91">
        <v>12.65</v>
      </c>
      <c r="H39" s="64"/>
      <c r="I39" s="85">
        <f>C39*G39</f>
        <v>12.65</v>
      </c>
      <c r="J39" s="56"/>
    </row>
    <row r="40" spans="1:10" ht="12">
      <c r="A40" s="64"/>
      <c r="B40" s="64"/>
      <c r="C40" s="64"/>
      <c r="D40" s="64"/>
      <c r="E40" s="65"/>
      <c r="F40" s="64"/>
      <c r="G40" s="74"/>
      <c r="H40" s="64"/>
      <c r="I40" s="85"/>
      <c r="J40" s="56"/>
    </row>
    <row r="41" spans="1:10" ht="12.75">
      <c r="A41" s="76" t="s">
        <v>22</v>
      </c>
      <c r="B41" s="64"/>
      <c r="C41" s="64"/>
      <c r="D41" s="64"/>
      <c r="E41" s="65"/>
      <c r="F41" s="64"/>
      <c r="G41" s="74"/>
      <c r="H41" s="64"/>
      <c r="I41" s="86">
        <f>SUM(I42:I44)</f>
        <v>48.6</v>
      </c>
      <c r="J41" s="56"/>
    </row>
    <row r="42" spans="1:10" ht="12">
      <c r="A42" s="79" t="s">
        <v>21</v>
      </c>
      <c r="B42" s="64"/>
      <c r="C42" s="79">
        <v>1</v>
      </c>
      <c r="D42" s="64"/>
      <c r="E42" s="80" t="s">
        <v>39</v>
      </c>
      <c r="F42" s="64"/>
      <c r="G42" s="91">
        <v>45.85</v>
      </c>
      <c r="H42" s="64"/>
      <c r="I42" s="85">
        <f>C42*G42</f>
        <v>45.85</v>
      </c>
      <c r="J42" s="56"/>
    </row>
    <row r="43" spans="1:10" ht="12">
      <c r="A43" s="79" t="s">
        <v>89</v>
      </c>
      <c r="B43" s="64"/>
      <c r="C43" s="79">
        <v>1</v>
      </c>
      <c r="D43" s="64"/>
      <c r="E43" s="80" t="s">
        <v>39</v>
      </c>
      <c r="F43" s="64"/>
      <c r="G43" s="91">
        <v>2.75</v>
      </c>
      <c r="H43" s="64"/>
      <c r="I43" s="85">
        <f>C43*G43</f>
        <v>2.75</v>
      </c>
      <c r="J43" s="56"/>
    </row>
    <row r="44" spans="1:10" ht="12">
      <c r="A44" s="79"/>
      <c r="B44" s="64"/>
      <c r="C44" s="79"/>
      <c r="D44" s="64"/>
      <c r="E44" s="80"/>
      <c r="F44" s="64"/>
      <c r="G44" s="81"/>
      <c r="H44" s="64"/>
      <c r="I44" s="85">
        <f>C44*G44</f>
        <v>0</v>
      </c>
      <c r="J44" s="56"/>
    </row>
    <row r="45" spans="1:10" ht="5.25" customHeight="1">
      <c r="A45" s="64"/>
      <c r="B45" s="64"/>
      <c r="C45" s="64"/>
      <c r="D45" s="64"/>
      <c r="E45" s="65"/>
      <c r="F45" s="64"/>
      <c r="G45" s="74"/>
      <c r="H45" s="64"/>
      <c r="I45" s="85"/>
      <c r="J45" s="56"/>
    </row>
    <row r="46" spans="1:10" ht="12.75">
      <c r="A46" s="76" t="s">
        <v>149</v>
      </c>
      <c r="B46" s="64"/>
      <c r="C46" s="93"/>
      <c r="D46" s="64"/>
      <c r="E46" s="65"/>
      <c r="F46" s="64"/>
      <c r="G46" s="74"/>
      <c r="H46" s="64"/>
      <c r="I46" s="86">
        <f>SUM(I47:I51)</f>
        <v>209.172</v>
      </c>
      <c r="J46" s="56"/>
    </row>
    <row r="47" spans="1:10" ht="12">
      <c r="A47" s="78" t="s">
        <v>150</v>
      </c>
      <c r="B47" s="64"/>
      <c r="C47" s="88">
        <v>2.51</v>
      </c>
      <c r="D47" s="64"/>
      <c r="E47" s="89" t="s">
        <v>91</v>
      </c>
      <c r="F47" s="64"/>
      <c r="G47" s="91">
        <f>FuelGas</f>
        <v>3.7</v>
      </c>
      <c r="H47" s="64"/>
      <c r="I47" s="85">
        <f>C47*G47</f>
        <v>9.286999999999999</v>
      </c>
      <c r="J47" s="56"/>
    </row>
    <row r="48" spans="1:10" ht="12">
      <c r="A48" s="78" t="s">
        <v>151</v>
      </c>
      <c r="B48" s="64"/>
      <c r="C48" s="88">
        <v>26.33</v>
      </c>
      <c r="D48" s="64"/>
      <c r="E48" s="89" t="s">
        <v>91</v>
      </c>
      <c r="F48" s="64"/>
      <c r="G48" s="91">
        <f>FuelD</f>
        <v>3.6</v>
      </c>
      <c r="H48" s="64"/>
      <c r="I48" s="85">
        <f>C48*G48</f>
        <v>94.788</v>
      </c>
      <c r="J48" s="56"/>
    </row>
    <row r="49" spans="1:10" ht="12">
      <c r="A49" s="78" t="s">
        <v>334</v>
      </c>
      <c r="B49" s="64"/>
      <c r="C49" s="88">
        <v>6.27</v>
      </c>
      <c r="D49" s="64"/>
      <c r="E49" s="89" t="s">
        <v>91</v>
      </c>
      <c r="F49" s="64"/>
      <c r="G49" s="91">
        <f>FuelRD</f>
        <v>4.1</v>
      </c>
      <c r="H49" s="64"/>
      <c r="I49" s="85">
        <f>C49*G49</f>
        <v>25.706999999999997</v>
      </c>
      <c r="J49" s="56"/>
    </row>
    <row r="50" spans="1:10" ht="12">
      <c r="A50" s="83" t="s">
        <v>152</v>
      </c>
      <c r="B50" s="64"/>
      <c r="C50" s="79">
        <v>1</v>
      </c>
      <c r="D50" s="64"/>
      <c r="E50" s="89" t="s">
        <v>39</v>
      </c>
      <c r="F50" s="64"/>
      <c r="G50" s="91">
        <v>18.9</v>
      </c>
      <c r="H50" s="64"/>
      <c r="I50" s="85">
        <f>C50*G50</f>
        <v>18.9</v>
      </c>
      <c r="J50" s="56"/>
    </row>
    <row r="51" spans="1:10" ht="12">
      <c r="A51" s="83" t="s">
        <v>26</v>
      </c>
      <c r="B51" s="64"/>
      <c r="C51" s="79">
        <v>1</v>
      </c>
      <c r="D51" s="64"/>
      <c r="E51" s="89" t="s">
        <v>39</v>
      </c>
      <c r="F51" s="64"/>
      <c r="G51" s="91">
        <v>60.49</v>
      </c>
      <c r="H51" s="64"/>
      <c r="I51" s="85">
        <f>C51*G51</f>
        <v>60.49</v>
      </c>
      <c r="J51" s="56"/>
    </row>
    <row r="52" spans="1:10" ht="5.25" customHeight="1">
      <c r="A52" s="94"/>
      <c r="B52" s="93"/>
      <c r="C52" s="95"/>
      <c r="D52" s="93"/>
      <c r="E52" s="96"/>
      <c r="F52" s="93"/>
      <c r="G52" s="97"/>
      <c r="H52" s="64"/>
      <c r="I52" s="85"/>
      <c r="J52" s="56"/>
    </row>
    <row r="53" spans="1:10" ht="12.75">
      <c r="A53" s="76" t="s">
        <v>155</v>
      </c>
      <c r="B53" s="64"/>
      <c r="C53" s="93"/>
      <c r="D53" s="64"/>
      <c r="E53" s="65"/>
      <c r="F53" s="64"/>
      <c r="G53" s="74"/>
      <c r="H53" s="64"/>
      <c r="I53" s="86">
        <f>SUM(I54:I57)</f>
        <v>195.23250000000002</v>
      </c>
      <c r="J53" s="56"/>
    </row>
    <row r="54" spans="1:10" ht="12">
      <c r="A54" s="78" t="s">
        <v>156</v>
      </c>
      <c r="B54" s="64"/>
      <c r="C54" s="88">
        <v>4.29</v>
      </c>
      <c r="D54" s="64"/>
      <c r="E54" s="89" t="s">
        <v>42</v>
      </c>
      <c r="F54" s="64"/>
      <c r="G54" s="91">
        <v>16.25</v>
      </c>
      <c r="H54" s="64"/>
      <c r="I54" s="85">
        <f>C54*G54</f>
        <v>69.7125</v>
      </c>
      <c r="J54" s="56"/>
    </row>
    <row r="55" spans="1:10" ht="12">
      <c r="A55" s="78" t="s">
        <v>158</v>
      </c>
      <c r="B55" s="64"/>
      <c r="C55" s="88">
        <v>5.6</v>
      </c>
      <c r="D55" s="64"/>
      <c r="E55" s="80" t="s">
        <v>42</v>
      </c>
      <c r="F55" s="64"/>
      <c r="G55" s="91">
        <v>11.55</v>
      </c>
      <c r="H55" s="64"/>
      <c r="I55" s="85">
        <f>C55*G55</f>
        <v>64.68</v>
      </c>
      <c r="J55" s="56"/>
    </row>
    <row r="56" spans="1:10" ht="12">
      <c r="A56" s="78" t="s">
        <v>339</v>
      </c>
      <c r="B56" s="64"/>
      <c r="C56" s="88">
        <v>3.76</v>
      </c>
      <c r="D56" s="64"/>
      <c r="E56" s="89" t="s">
        <v>42</v>
      </c>
      <c r="F56" s="64"/>
      <c r="G56" s="91">
        <v>13</v>
      </c>
      <c r="H56" s="64"/>
      <c r="I56" s="85">
        <f>C56*G56</f>
        <v>48.879999999999995</v>
      </c>
      <c r="J56" s="56"/>
    </row>
    <row r="57" spans="1:10" ht="12">
      <c r="A57" s="78" t="s">
        <v>340</v>
      </c>
      <c r="B57" s="64"/>
      <c r="C57" s="88">
        <v>1.3</v>
      </c>
      <c r="D57" s="64"/>
      <c r="E57" s="89"/>
      <c r="F57" s="64"/>
      <c r="G57" s="91">
        <v>9.2</v>
      </c>
      <c r="H57" s="64"/>
      <c r="I57" s="85">
        <f>C57*G57</f>
        <v>11.959999999999999</v>
      </c>
      <c r="J57" s="56"/>
    </row>
    <row r="58" spans="1:10" ht="5.25" customHeight="1">
      <c r="A58" s="95"/>
      <c r="B58" s="93"/>
      <c r="C58" s="95"/>
      <c r="D58" s="93"/>
      <c r="E58" s="96"/>
      <c r="F58" s="93"/>
      <c r="G58" s="97"/>
      <c r="H58" s="64"/>
      <c r="I58" s="85"/>
      <c r="J58" s="56"/>
    </row>
    <row r="59" spans="1:10" ht="12.75">
      <c r="A59" s="76" t="s">
        <v>154</v>
      </c>
      <c r="B59" s="64"/>
      <c r="C59" s="93"/>
      <c r="D59" s="64"/>
      <c r="E59" s="65"/>
      <c r="F59" s="64"/>
      <c r="G59" s="74"/>
      <c r="H59" s="64"/>
      <c r="I59" s="86">
        <f>SUM(I60:I61)</f>
        <v>0</v>
      </c>
      <c r="J59" s="56"/>
    </row>
    <row r="60" spans="1:10" ht="12">
      <c r="A60" s="78"/>
      <c r="B60" s="64"/>
      <c r="C60" s="79"/>
      <c r="D60" s="64"/>
      <c r="E60" s="89"/>
      <c r="F60" s="64"/>
      <c r="G60" s="92"/>
      <c r="H60" s="64"/>
      <c r="I60" s="85">
        <f>C60*G60</f>
        <v>0</v>
      </c>
      <c r="J60" s="56"/>
    </row>
    <row r="61" spans="1:10" ht="12">
      <c r="A61" s="78"/>
      <c r="B61" s="64"/>
      <c r="C61" s="79"/>
      <c r="D61" s="64"/>
      <c r="E61" s="80"/>
      <c r="F61" s="64"/>
      <c r="G61" s="92"/>
      <c r="H61" s="64"/>
      <c r="I61" s="85">
        <f>C61*G61</f>
        <v>0</v>
      </c>
      <c r="J61" s="56"/>
    </row>
    <row r="62" spans="1:10" ht="6" customHeight="1">
      <c r="A62" s="94"/>
      <c r="B62" s="93"/>
      <c r="C62" s="95"/>
      <c r="D62" s="93"/>
      <c r="E62" s="96"/>
      <c r="F62" s="93"/>
      <c r="G62" s="100"/>
      <c r="H62" s="64"/>
      <c r="I62" s="85"/>
      <c r="J62" s="56"/>
    </row>
    <row r="63" spans="1:10" ht="12.75">
      <c r="A63" s="76" t="s">
        <v>23</v>
      </c>
      <c r="B63" s="64"/>
      <c r="C63" s="64"/>
      <c r="D63" s="64"/>
      <c r="E63" s="65"/>
      <c r="F63" s="64"/>
      <c r="G63" s="74"/>
      <c r="H63" s="64"/>
      <c r="I63" s="86">
        <f>SUM(I64:I65)</f>
        <v>32</v>
      </c>
      <c r="J63" s="56"/>
    </row>
    <row r="64" spans="1:10" ht="12">
      <c r="A64" s="88" t="s">
        <v>24</v>
      </c>
      <c r="B64" s="64"/>
      <c r="C64" s="79">
        <v>1</v>
      </c>
      <c r="D64" s="64"/>
      <c r="E64" s="80" t="s">
        <v>39</v>
      </c>
      <c r="F64" s="64"/>
      <c r="G64" s="81">
        <v>32</v>
      </c>
      <c r="H64" s="64"/>
      <c r="I64" s="85">
        <f>C64*G64</f>
        <v>32</v>
      </c>
      <c r="J64" s="56"/>
    </row>
    <row r="65" spans="1:10" ht="12">
      <c r="A65" s="79"/>
      <c r="B65" s="64"/>
      <c r="C65" s="79"/>
      <c r="D65" s="64"/>
      <c r="E65" s="80"/>
      <c r="F65" s="64"/>
      <c r="G65" s="81"/>
      <c r="H65" s="64"/>
      <c r="I65" s="85">
        <f>C65*G65</f>
        <v>0</v>
      </c>
      <c r="J65" s="56"/>
    </row>
    <row r="66" spans="1:10" ht="4.5" customHeight="1">
      <c r="A66" s="95"/>
      <c r="B66" s="93"/>
      <c r="C66" s="95"/>
      <c r="D66" s="93"/>
      <c r="E66" s="96"/>
      <c r="F66" s="93"/>
      <c r="G66" s="97"/>
      <c r="H66" s="64"/>
      <c r="I66" s="101"/>
      <c r="J66" s="56"/>
    </row>
    <row r="67" spans="1:10" ht="12">
      <c r="A67" s="102" t="s">
        <v>388</v>
      </c>
      <c r="B67" s="64"/>
      <c r="C67" s="233"/>
      <c r="D67" s="231"/>
      <c r="E67" s="231"/>
      <c r="F67" s="231"/>
      <c r="G67" s="231"/>
      <c r="H67" s="64"/>
      <c r="I67" s="91">
        <f>(I11+I15+I23+I34+I41+I46+I53+I59+I63)*Oper*0.71</f>
        <v>60.2835874875</v>
      </c>
      <c r="J67" s="56"/>
    </row>
    <row r="68" spans="1:10" ht="5.25" customHeight="1">
      <c r="A68" s="64"/>
      <c r="B68" s="64"/>
      <c r="C68" s="64"/>
      <c r="D68" s="64"/>
      <c r="E68" s="65"/>
      <c r="F68" s="64"/>
      <c r="G68" s="64"/>
      <c r="H68" s="64"/>
      <c r="I68" s="85"/>
      <c r="J68" s="56"/>
    </row>
    <row r="69" spans="1:10" ht="12">
      <c r="A69" s="64" t="s">
        <v>27</v>
      </c>
      <c r="B69" s="64"/>
      <c r="C69" s="64"/>
      <c r="D69" s="64"/>
      <c r="E69" s="65"/>
      <c r="F69" s="64"/>
      <c r="G69" s="64"/>
      <c r="H69" s="64"/>
      <c r="I69" s="85">
        <f>SUM(I11:I67)-(I11+I15+I23+I34+I41+I46+I53+I59+I63)</f>
        <v>1318.1570874875003</v>
      </c>
      <c r="J69" s="56"/>
    </row>
    <row r="70" spans="1:10" ht="12">
      <c r="A70" s="64" t="s">
        <v>28</v>
      </c>
      <c r="B70" s="64"/>
      <c r="C70" s="64"/>
      <c r="D70" s="64"/>
      <c r="E70" s="65"/>
      <c r="F70" s="64"/>
      <c r="G70" s="64"/>
      <c r="H70" s="64"/>
      <c r="I70" s="85">
        <f>I69/C7</f>
        <v>36.615474652430564</v>
      </c>
      <c r="J70" s="56"/>
    </row>
    <row r="71" spans="1:10" ht="5.25" customHeight="1">
      <c r="A71" s="64"/>
      <c r="B71" s="64"/>
      <c r="C71" s="64"/>
      <c r="D71" s="64"/>
      <c r="E71" s="65"/>
      <c r="F71" s="64"/>
      <c r="G71" s="64"/>
      <c r="H71" s="64"/>
      <c r="I71" s="85"/>
      <c r="J71" s="56"/>
    </row>
    <row r="72" spans="1:10" ht="12">
      <c r="A72" s="59" t="s">
        <v>29</v>
      </c>
      <c r="B72" s="59"/>
      <c r="C72" s="59"/>
      <c r="D72" s="59"/>
      <c r="E72" s="60"/>
      <c r="F72" s="59"/>
      <c r="G72" s="59"/>
      <c r="H72" s="59"/>
      <c r="I72" s="103">
        <f>I7-I69</f>
        <v>301.84291251249965</v>
      </c>
      <c r="J72" s="56"/>
    </row>
    <row r="73" spans="1:10" ht="5.25" customHeight="1">
      <c r="A73" s="64"/>
      <c r="B73" s="64"/>
      <c r="C73" s="64"/>
      <c r="D73" s="64"/>
      <c r="E73" s="65"/>
      <c r="F73" s="64"/>
      <c r="G73" s="64"/>
      <c r="H73" s="64"/>
      <c r="I73" s="85"/>
      <c r="J73" s="56"/>
    </row>
    <row r="74" spans="1:10" ht="12.75">
      <c r="A74" s="63" t="s">
        <v>30</v>
      </c>
      <c r="B74" s="64"/>
      <c r="C74" s="64"/>
      <c r="D74" s="64"/>
      <c r="E74" s="65"/>
      <c r="F74" s="64"/>
      <c r="G74" s="64"/>
      <c r="H74" s="64"/>
      <c r="I74" s="85"/>
      <c r="J74" s="56"/>
    </row>
    <row r="75" spans="1:10" ht="12">
      <c r="A75" s="234" t="s">
        <v>353</v>
      </c>
      <c r="B75" s="234"/>
      <c r="C75" s="234"/>
      <c r="D75" s="233"/>
      <c r="E75" s="231"/>
      <c r="F75" s="231"/>
      <c r="G75" s="231"/>
      <c r="H75" s="231"/>
      <c r="I75" s="91">
        <v>5.41</v>
      </c>
      <c r="J75" s="56"/>
    </row>
    <row r="76" spans="1:10" ht="12">
      <c r="A76" s="234" t="s">
        <v>352</v>
      </c>
      <c r="B76" s="234"/>
      <c r="C76" s="234"/>
      <c r="D76" s="233"/>
      <c r="E76" s="233"/>
      <c r="F76" s="233"/>
      <c r="G76" s="233"/>
      <c r="H76" s="233"/>
      <c r="I76" s="91">
        <v>199.92</v>
      </c>
      <c r="J76" s="56"/>
    </row>
    <row r="77" spans="1:10" ht="12">
      <c r="A77" s="237" t="s">
        <v>44</v>
      </c>
      <c r="B77" s="237"/>
      <c r="C77" s="237"/>
      <c r="D77" s="233"/>
      <c r="E77" s="231"/>
      <c r="F77" s="231"/>
      <c r="G77" s="231"/>
      <c r="H77" s="231"/>
      <c r="I77" s="91">
        <v>300</v>
      </c>
      <c r="J77" s="56"/>
    </row>
    <row r="78" spans="1:10" ht="12">
      <c r="A78" s="254" t="s">
        <v>66</v>
      </c>
      <c r="B78" s="254"/>
      <c r="C78" s="254"/>
      <c r="D78" s="233"/>
      <c r="E78" s="231"/>
      <c r="F78" s="231"/>
      <c r="G78" s="231"/>
      <c r="H78" s="231"/>
      <c r="I78" s="91">
        <v>13</v>
      </c>
      <c r="J78" s="56"/>
    </row>
    <row r="79" spans="1:10" ht="12">
      <c r="A79" s="237" t="s">
        <v>31</v>
      </c>
      <c r="B79" s="237"/>
      <c r="C79" s="237"/>
      <c r="D79" s="233"/>
      <c r="E79" s="231"/>
      <c r="F79" s="231"/>
      <c r="G79" s="231"/>
      <c r="H79" s="231"/>
      <c r="I79" s="91">
        <f>ROUND(0.025*I69,0)</f>
        <v>33</v>
      </c>
      <c r="J79" s="56"/>
    </row>
    <row r="80" spans="1:10" ht="12">
      <c r="A80" s="254" t="s">
        <v>32</v>
      </c>
      <c r="B80" s="254"/>
      <c r="C80" s="254"/>
      <c r="D80" s="233"/>
      <c r="E80" s="231"/>
      <c r="F80" s="231"/>
      <c r="G80" s="231"/>
      <c r="H80" s="231"/>
      <c r="I80" s="91">
        <f>ROUND(0.05*I7,0)</f>
        <v>81</v>
      </c>
      <c r="J80" s="56"/>
    </row>
    <row r="81" spans="1:10" ht="12">
      <c r="A81" s="237"/>
      <c r="B81" s="237"/>
      <c r="C81" s="237"/>
      <c r="D81" s="235"/>
      <c r="E81" s="235"/>
      <c r="F81" s="235"/>
      <c r="G81" s="235"/>
      <c r="H81" s="235"/>
      <c r="I81" s="104"/>
      <c r="J81" s="56"/>
    </row>
    <row r="82" spans="1:10" ht="5.25" customHeight="1">
      <c r="A82" s="64"/>
      <c r="B82" s="64"/>
      <c r="C82" s="64"/>
      <c r="D82" s="64"/>
      <c r="E82" s="65"/>
      <c r="F82" s="64"/>
      <c r="G82" s="64"/>
      <c r="H82" s="64"/>
      <c r="I82" s="85"/>
      <c r="J82" s="56"/>
    </row>
    <row r="83" spans="1:10" ht="12.75">
      <c r="A83" s="76" t="s">
        <v>33</v>
      </c>
      <c r="B83" s="64"/>
      <c r="C83" s="64"/>
      <c r="D83" s="64"/>
      <c r="E83" s="65"/>
      <c r="F83" s="64"/>
      <c r="G83" s="64"/>
      <c r="H83" s="64"/>
      <c r="I83" s="85">
        <f>SUM(I74:I81)</f>
        <v>632.3299999999999</v>
      </c>
      <c r="J83" s="56"/>
    </row>
    <row r="84" spans="1:10" ht="12.75">
      <c r="A84" s="76" t="s">
        <v>34</v>
      </c>
      <c r="B84" s="64"/>
      <c r="C84" s="64"/>
      <c r="D84" s="64"/>
      <c r="E84" s="65"/>
      <c r="F84" s="64"/>
      <c r="G84" s="64"/>
      <c r="H84" s="64"/>
      <c r="I84" s="85">
        <f>I83/C7</f>
        <v>17.56472222222222</v>
      </c>
      <c r="J84" s="56"/>
    </row>
    <row r="85" spans="1:10" ht="12">
      <c r="A85" s="64"/>
      <c r="B85" s="64"/>
      <c r="C85" s="64"/>
      <c r="D85" s="64"/>
      <c r="E85" s="65"/>
      <c r="F85" s="64"/>
      <c r="G85" s="64"/>
      <c r="H85" s="64"/>
      <c r="I85" s="85"/>
      <c r="J85" s="56"/>
    </row>
    <row r="86" spans="1:10" ht="12.75">
      <c r="A86" s="76" t="s">
        <v>35</v>
      </c>
      <c r="B86" s="64"/>
      <c r="C86" s="64"/>
      <c r="D86" s="64"/>
      <c r="E86" s="65"/>
      <c r="F86" s="64"/>
      <c r="G86" s="64"/>
      <c r="H86" s="64"/>
      <c r="I86" s="85">
        <f>I69+I83</f>
        <v>1950.4870874875003</v>
      </c>
      <c r="J86" s="56"/>
    </row>
    <row r="87" spans="1:10" ht="12.75">
      <c r="A87" s="76" t="s">
        <v>36</v>
      </c>
      <c r="B87" s="64"/>
      <c r="C87" s="64"/>
      <c r="D87" s="64"/>
      <c r="E87" s="65"/>
      <c r="F87" s="64"/>
      <c r="G87" s="64"/>
      <c r="H87" s="64"/>
      <c r="I87" s="85">
        <f>I86/C7</f>
        <v>54.180196874652786</v>
      </c>
      <c r="J87" s="56"/>
    </row>
    <row r="88" spans="1:10" ht="12">
      <c r="A88" s="64"/>
      <c r="B88" s="64"/>
      <c r="C88" s="64"/>
      <c r="D88" s="64"/>
      <c r="E88" s="65"/>
      <c r="F88" s="64"/>
      <c r="G88" s="64"/>
      <c r="H88" s="64"/>
      <c r="I88" s="85"/>
      <c r="J88" s="56"/>
    </row>
    <row r="89" spans="1:10" ht="12">
      <c r="A89" s="64" t="s">
        <v>37</v>
      </c>
      <c r="B89" s="64"/>
      <c r="C89" s="64"/>
      <c r="D89" s="64"/>
      <c r="E89" s="65"/>
      <c r="F89" s="64"/>
      <c r="G89" s="64"/>
      <c r="H89" s="64"/>
      <c r="I89" s="85">
        <f>I7-I86</f>
        <v>-330.4870874875003</v>
      </c>
      <c r="J89" s="56"/>
    </row>
    <row r="90" spans="1:10" ht="12">
      <c r="A90" s="59"/>
      <c r="B90" s="59"/>
      <c r="C90" s="59"/>
      <c r="D90" s="59"/>
      <c r="E90" s="60"/>
      <c r="F90" s="59"/>
      <c r="G90" s="59"/>
      <c r="H90" s="59"/>
      <c r="I90" s="61"/>
      <c r="J90" s="62"/>
    </row>
    <row r="91" spans="1:10" ht="12">
      <c r="A91" s="67" t="s">
        <v>87</v>
      </c>
      <c r="B91" s="67"/>
      <c r="C91" s="67"/>
      <c r="D91" s="67"/>
      <c r="E91" s="72"/>
      <c r="F91" s="67"/>
      <c r="G91" s="67"/>
      <c r="H91" s="67"/>
      <c r="I91" s="67"/>
      <c r="J91" s="105"/>
    </row>
    <row r="92" spans="1:10" ht="12">
      <c r="A92" s="238" t="s">
        <v>45</v>
      </c>
      <c r="B92" s="238"/>
      <c r="C92" s="238"/>
      <c r="D92" s="238"/>
      <c r="E92" s="238"/>
      <c r="F92" s="238"/>
      <c r="G92" s="238"/>
      <c r="H92" s="238"/>
      <c r="I92" s="238"/>
      <c r="J92" s="93"/>
    </row>
    <row r="93" spans="1:10" ht="12">
      <c r="A93" s="238"/>
      <c r="B93" s="238"/>
      <c r="C93" s="238"/>
      <c r="D93" s="238"/>
      <c r="E93" s="238"/>
      <c r="F93" s="238"/>
      <c r="G93" s="238"/>
      <c r="H93" s="238"/>
      <c r="I93" s="238"/>
      <c r="J93" s="93"/>
    </row>
    <row r="94" spans="1:10" ht="12">
      <c r="A94" s="238"/>
      <c r="B94" s="238"/>
      <c r="C94" s="238"/>
      <c r="D94" s="238"/>
      <c r="E94" s="238"/>
      <c r="F94" s="238"/>
      <c r="G94" s="238"/>
      <c r="H94" s="238"/>
      <c r="I94" s="238"/>
      <c r="J94" s="93"/>
    </row>
    <row r="95" spans="1:10" ht="12">
      <c r="A95" s="238"/>
      <c r="B95" s="238"/>
      <c r="C95" s="238"/>
      <c r="D95" s="238"/>
      <c r="E95" s="238"/>
      <c r="F95" s="238"/>
      <c r="G95" s="238"/>
      <c r="H95" s="238"/>
      <c r="I95" s="238"/>
      <c r="J95" s="93"/>
    </row>
    <row r="96" spans="1:10" ht="12">
      <c r="A96" s="238"/>
      <c r="B96" s="238"/>
      <c r="C96" s="238"/>
      <c r="D96" s="238"/>
      <c r="E96" s="238"/>
      <c r="F96" s="238"/>
      <c r="G96" s="238"/>
      <c r="H96" s="238"/>
      <c r="I96" s="238"/>
      <c r="J96" s="93"/>
    </row>
    <row r="97" spans="1:10" ht="12">
      <c r="A97" s="64"/>
      <c r="B97" s="64"/>
      <c r="C97" s="64"/>
      <c r="D97" s="64"/>
      <c r="E97" s="65"/>
      <c r="F97" s="64"/>
      <c r="G97" s="64"/>
      <c r="H97" s="64"/>
      <c r="I97" s="64"/>
      <c r="J97" s="93"/>
    </row>
    <row r="98" spans="1:10" ht="12.75">
      <c r="A98" s="106" t="s">
        <v>52</v>
      </c>
      <c r="B98" s="64"/>
      <c r="C98" s="107" t="s">
        <v>56</v>
      </c>
      <c r="D98" s="64"/>
      <c r="E98" s="65" t="s">
        <v>54</v>
      </c>
      <c r="F98" s="64"/>
      <c r="G98" s="107" t="s">
        <v>55</v>
      </c>
      <c r="H98" s="64"/>
      <c r="I98" s="64"/>
      <c r="J98" s="93"/>
    </row>
    <row r="99" spans="1:10" ht="12">
      <c r="A99" s="64"/>
      <c r="B99" s="64"/>
      <c r="C99" s="108">
        <v>0.1</v>
      </c>
      <c r="D99" s="64"/>
      <c r="E99" s="65"/>
      <c r="F99" s="64"/>
      <c r="G99" s="108">
        <v>0.1</v>
      </c>
      <c r="H99" s="64"/>
      <c r="I99" s="64"/>
      <c r="J99" s="93"/>
    </row>
    <row r="100" spans="1:10" ht="12">
      <c r="A100" s="64"/>
      <c r="B100" s="64"/>
      <c r="C100" s="109"/>
      <c r="D100" s="59"/>
      <c r="E100" s="58" t="s">
        <v>53</v>
      </c>
      <c r="F100" s="59"/>
      <c r="G100" s="109"/>
      <c r="H100" s="64"/>
      <c r="I100" s="64"/>
      <c r="J100" s="93"/>
    </row>
    <row r="101" spans="1:10" ht="12">
      <c r="A101" s="110" t="s">
        <v>49</v>
      </c>
      <c r="B101" s="64"/>
      <c r="C101" s="111">
        <f>E101*(1-C99)</f>
        <v>32.4</v>
      </c>
      <c r="D101" s="112"/>
      <c r="E101" s="113">
        <f>C7</f>
        <v>36</v>
      </c>
      <c r="F101" s="112"/>
      <c r="G101" s="114">
        <f>E101*(1+G99)</f>
        <v>39.6</v>
      </c>
      <c r="H101" s="64"/>
      <c r="I101" s="64"/>
      <c r="J101" s="93"/>
    </row>
    <row r="102" spans="1:10" ht="4.5" customHeight="1">
      <c r="A102" s="64"/>
      <c r="B102" s="64"/>
      <c r="C102" s="64"/>
      <c r="D102" s="64"/>
      <c r="E102" s="65"/>
      <c r="F102" s="64"/>
      <c r="G102" s="64"/>
      <c r="H102" s="64"/>
      <c r="I102" s="64"/>
      <c r="J102" s="93"/>
    </row>
    <row r="103" spans="1:10" ht="12">
      <c r="A103" s="64" t="s">
        <v>57</v>
      </c>
      <c r="B103" s="64"/>
      <c r="C103" s="115">
        <f>$I$69/C101</f>
        <v>40.68386072492285</v>
      </c>
      <c r="D103" s="64"/>
      <c r="E103" s="115">
        <f>$I$69/E101</f>
        <v>36.615474652430564</v>
      </c>
      <c r="F103" s="64"/>
      <c r="G103" s="115">
        <f>$I$69/G101</f>
        <v>33.28679513857324</v>
      </c>
      <c r="H103" s="64"/>
      <c r="I103" s="64"/>
      <c r="J103" s="93"/>
    </row>
    <row r="104" spans="1:10" ht="4.5" customHeight="1">
      <c r="A104" s="64"/>
      <c r="B104" s="64"/>
      <c r="C104" s="64"/>
      <c r="D104" s="64"/>
      <c r="E104" s="65"/>
      <c r="F104" s="64"/>
      <c r="G104" s="64"/>
      <c r="H104" s="64"/>
      <c r="I104" s="64"/>
      <c r="J104" s="93"/>
    </row>
    <row r="105" spans="1:10" ht="12">
      <c r="A105" s="64" t="s">
        <v>58</v>
      </c>
      <c r="B105" s="64"/>
      <c r="C105" s="115">
        <f>$I$83/C101</f>
        <v>19.516358024691357</v>
      </c>
      <c r="D105" s="64"/>
      <c r="E105" s="115">
        <f>$I$83/E101</f>
        <v>17.56472222222222</v>
      </c>
      <c r="F105" s="64"/>
      <c r="G105" s="115">
        <f>$I$83/G101</f>
        <v>15.967929292929291</v>
      </c>
      <c r="H105" s="64"/>
      <c r="I105" s="64"/>
      <c r="J105" s="93"/>
    </row>
    <row r="106" spans="1:10" ht="3.75" customHeight="1">
      <c r="A106" s="64"/>
      <c r="B106" s="64"/>
      <c r="C106" s="64"/>
      <c r="D106" s="64"/>
      <c r="E106" s="65"/>
      <c r="F106" s="64"/>
      <c r="G106" s="64"/>
      <c r="H106" s="64"/>
      <c r="I106" s="64"/>
      <c r="J106" s="93"/>
    </row>
    <row r="107" spans="1:10" ht="12">
      <c r="A107" s="64" t="s">
        <v>59</v>
      </c>
      <c r="B107" s="64"/>
      <c r="C107" s="115">
        <f>$I$86/C101</f>
        <v>60.20021874961421</v>
      </c>
      <c r="D107" s="64"/>
      <c r="E107" s="115">
        <f>$I$86/E101</f>
        <v>54.180196874652786</v>
      </c>
      <c r="F107" s="64"/>
      <c r="G107" s="115">
        <f>$I$86/G101</f>
        <v>49.25472443150253</v>
      </c>
      <c r="H107" s="64"/>
      <c r="I107" s="64"/>
      <c r="J107" s="93"/>
    </row>
    <row r="108" spans="1:10" ht="5.25" customHeight="1">
      <c r="A108" s="67"/>
      <c r="B108" s="67"/>
      <c r="C108" s="67"/>
      <c r="D108" s="67"/>
      <c r="E108" s="72"/>
      <c r="F108" s="67"/>
      <c r="G108" s="67"/>
      <c r="H108" s="67"/>
      <c r="I108" s="67"/>
      <c r="J108" s="93"/>
    </row>
    <row r="109" spans="1:10" ht="12">
      <c r="A109" s="64"/>
      <c r="B109" s="64"/>
      <c r="C109" s="64"/>
      <c r="D109" s="64"/>
      <c r="E109" s="65"/>
      <c r="F109" s="64"/>
      <c r="G109" s="64"/>
      <c r="H109" s="64"/>
      <c r="I109" s="64"/>
      <c r="J109" s="93"/>
    </row>
    <row r="110" spans="1:10" ht="12">
      <c r="A110" s="64"/>
      <c r="B110" s="64"/>
      <c r="C110" s="59"/>
      <c r="D110" s="59"/>
      <c r="E110" s="60" t="s">
        <v>49</v>
      </c>
      <c r="F110" s="59"/>
      <c r="G110" s="59"/>
      <c r="H110" s="64"/>
      <c r="I110" s="64"/>
      <c r="J110" s="93"/>
    </row>
    <row r="111" spans="1:10" ht="12">
      <c r="A111" s="110" t="s">
        <v>53</v>
      </c>
      <c r="B111" s="64"/>
      <c r="C111" s="116">
        <f>E111*(1-C99)</f>
        <v>40.5</v>
      </c>
      <c r="D111" s="112"/>
      <c r="E111" s="117">
        <f>G7</f>
        <v>45</v>
      </c>
      <c r="F111" s="112"/>
      <c r="G111" s="116">
        <f>E111*(1+G99)</f>
        <v>49.50000000000001</v>
      </c>
      <c r="H111" s="64"/>
      <c r="I111" s="64"/>
      <c r="J111" s="93"/>
    </row>
    <row r="112" spans="1:10" ht="4.5" customHeight="1">
      <c r="A112" s="64"/>
      <c r="B112" s="64"/>
      <c r="C112" s="64"/>
      <c r="D112" s="64"/>
      <c r="E112" s="65"/>
      <c r="F112" s="64"/>
      <c r="G112" s="64"/>
      <c r="H112" s="64"/>
      <c r="I112" s="64"/>
      <c r="J112" s="93"/>
    </row>
    <row r="113" spans="1:10" ht="12">
      <c r="A113" s="64" t="s">
        <v>57</v>
      </c>
      <c r="B113" s="64"/>
      <c r="C113" s="118">
        <f>$I$69/C111</f>
        <v>32.54708857993828</v>
      </c>
      <c r="D113" s="64"/>
      <c r="E113" s="118">
        <f>$I$69/E111</f>
        <v>29.292379721944453</v>
      </c>
      <c r="F113" s="64"/>
      <c r="G113" s="118">
        <f>$I$69/G111</f>
        <v>26.629436110858588</v>
      </c>
      <c r="H113" s="64"/>
      <c r="I113" s="64"/>
      <c r="J113" s="93"/>
    </row>
    <row r="114" spans="1:10" ht="3" customHeight="1">
      <c r="A114" s="64"/>
      <c r="B114" s="64"/>
      <c r="C114" s="64"/>
      <c r="D114" s="64"/>
      <c r="E114" s="65"/>
      <c r="F114" s="64"/>
      <c r="G114" s="64"/>
      <c r="H114" s="64"/>
      <c r="I114" s="64"/>
      <c r="J114" s="93"/>
    </row>
    <row r="115" spans="1:10" ht="12">
      <c r="A115" s="64" t="s">
        <v>58</v>
      </c>
      <c r="B115" s="64"/>
      <c r="C115" s="118">
        <f>$I$83/C111</f>
        <v>15.613086419753085</v>
      </c>
      <c r="D115" s="64"/>
      <c r="E115" s="118">
        <f>$I$83/E111</f>
        <v>14.051777777777776</v>
      </c>
      <c r="F115" s="64"/>
      <c r="G115" s="118">
        <f>$I$83/G111</f>
        <v>12.77434343434343</v>
      </c>
      <c r="H115" s="64"/>
      <c r="I115" s="64"/>
      <c r="J115" s="93"/>
    </row>
    <row r="116" spans="1:10" ht="3.75" customHeight="1">
      <c r="A116" s="64"/>
      <c r="B116" s="64"/>
      <c r="C116" s="64"/>
      <c r="D116" s="64"/>
      <c r="E116" s="65"/>
      <c r="F116" s="64"/>
      <c r="G116" s="64"/>
      <c r="H116" s="64"/>
      <c r="I116" s="64"/>
      <c r="J116" s="93"/>
    </row>
    <row r="117" spans="1:10" ht="12">
      <c r="A117" s="64" t="s">
        <v>59</v>
      </c>
      <c r="B117" s="64"/>
      <c r="C117" s="118">
        <f>$I$86/C111</f>
        <v>48.160174999691364</v>
      </c>
      <c r="D117" s="64"/>
      <c r="E117" s="118">
        <f>$I$86/E111</f>
        <v>43.34415749972223</v>
      </c>
      <c r="F117" s="64"/>
      <c r="G117" s="118">
        <f>$I$86/G111</f>
        <v>39.40377954520202</v>
      </c>
      <c r="H117" s="64"/>
      <c r="I117" s="64"/>
      <c r="J117" s="93"/>
    </row>
    <row r="118" spans="1:10" ht="5.25" customHeight="1">
      <c r="A118" s="64"/>
      <c r="B118" s="64"/>
      <c r="C118" s="64"/>
      <c r="D118" s="64"/>
      <c r="E118" s="65"/>
      <c r="F118" s="64"/>
      <c r="G118" s="64"/>
      <c r="H118" s="64"/>
      <c r="I118" s="64"/>
      <c r="J118" s="93"/>
    </row>
    <row r="119" spans="1:10" ht="12">
      <c r="A119" s="59"/>
      <c r="B119" s="59"/>
      <c r="C119" s="59"/>
      <c r="D119" s="59"/>
      <c r="E119" s="60"/>
      <c r="F119" s="59"/>
      <c r="G119" s="59"/>
      <c r="H119" s="59"/>
      <c r="I119" s="59"/>
      <c r="J119" s="93"/>
    </row>
    <row r="120" spans="1:10" ht="12">
      <c r="A120" s="64"/>
      <c r="B120" s="64"/>
      <c r="C120" s="64"/>
      <c r="D120" s="64"/>
      <c r="E120" s="65"/>
      <c r="F120" s="64"/>
      <c r="G120" s="64"/>
      <c r="H120" s="64"/>
      <c r="I120" s="64"/>
      <c r="J120" s="93"/>
    </row>
    <row r="121" spans="1:10" ht="12">
      <c r="A121" s="119" t="s">
        <v>62</v>
      </c>
      <c r="B121" s="64"/>
      <c r="C121" s="237"/>
      <c r="D121" s="237"/>
      <c r="E121" s="237"/>
      <c r="F121" s="64"/>
      <c r="G121" s="64"/>
      <c r="H121" s="64"/>
      <c r="I121" s="64"/>
      <c r="J121" s="93"/>
    </row>
    <row r="122" spans="1:10" ht="12">
      <c r="A122" s="119" t="s">
        <v>60</v>
      </c>
      <c r="B122" s="64"/>
      <c r="C122" s="237"/>
      <c r="D122" s="237"/>
      <c r="E122" s="237"/>
      <c r="F122" s="237"/>
      <c r="G122" s="237"/>
      <c r="H122" s="64"/>
      <c r="I122" s="64"/>
      <c r="J122" s="93"/>
    </row>
    <row r="123" spans="1:10" ht="12">
      <c r="A123" s="119" t="s">
        <v>61</v>
      </c>
      <c r="B123" s="64"/>
      <c r="C123" s="237"/>
      <c r="D123" s="237"/>
      <c r="E123" s="237"/>
      <c r="F123" s="237"/>
      <c r="G123" s="237"/>
      <c r="H123" s="64"/>
      <c r="I123" s="64"/>
      <c r="J123" s="93"/>
    </row>
    <row r="124" spans="1:10" ht="12">
      <c r="A124" s="64"/>
      <c r="B124" s="64"/>
      <c r="C124" s="237"/>
      <c r="D124" s="237"/>
      <c r="E124" s="237"/>
      <c r="F124" s="237"/>
      <c r="G124" s="237"/>
      <c r="H124" s="64"/>
      <c r="I124" s="64"/>
      <c r="J124" s="93"/>
    </row>
    <row r="125" spans="1:10" ht="12">
      <c r="A125" s="64"/>
      <c r="B125" s="64"/>
      <c r="C125" s="237"/>
      <c r="D125" s="237"/>
      <c r="E125" s="237"/>
      <c r="F125" s="237"/>
      <c r="G125" s="237"/>
      <c r="H125" s="64"/>
      <c r="I125" s="64"/>
      <c r="J125" s="93"/>
    </row>
    <row r="126" spans="1:10" ht="12">
      <c r="A126" s="64"/>
      <c r="B126" s="64"/>
      <c r="C126" s="64"/>
      <c r="D126" s="64"/>
      <c r="E126" s="65"/>
      <c r="F126" s="64"/>
      <c r="G126" s="64"/>
      <c r="H126" s="64"/>
      <c r="I126" s="64"/>
      <c r="J126" s="93"/>
    </row>
  </sheetData>
  <sheetProtection/>
  <mergeCells count="24">
    <mergeCell ref="A80:C80"/>
    <mergeCell ref="D80:H80"/>
    <mergeCell ref="C124:G124"/>
    <mergeCell ref="C125:G125"/>
    <mergeCell ref="A81:C81"/>
    <mergeCell ref="D81:H81"/>
    <mergeCell ref="A92:I96"/>
    <mergeCell ref="C121:E121"/>
    <mergeCell ref="C122:G122"/>
    <mergeCell ref="C123:G123"/>
    <mergeCell ref="A76:C76"/>
    <mergeCell ref="D76:H76"/>
    <mergeCell ref="A77:C77"/>
    <mergeCell ref="D77:H77"/>
    <mergeCell ref="A78:C78"/>
    <mergeCell ref="D78:H78"/>
    <mergeCell ref="A79:C79"/>
    <mergeCell ref="D79:H79"/>
    <mergeCell ref="A1:J1"/>
    <mergeCell ref="L7:P7"/>
    <mergeCell ref="L8:Q8"/>
    <mergeCell ref="C67:G67"/>
    <mergeCell ref="A75:C75"/>
    <mergeCell ref="D75:H75"/>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73" max="255" man="1"/>
  </rowBreaks>
</worksheet>
</file>

<file path=xl/worksheets/sheet13.xml><?xml version="1.0" encoding="utf-8"?>
<worksheet xmlns="http://schemas.openxmlformats.org/spreadsheetml/2006/main" xmlns:r="http://schemas.openxmlformats.org/officeDocument/2006/relationships">
  <dimension ref="A1:Q121"/>
  <sheetViews>
    <sheetView zoomScalePageLayoutView="0" workbookViewId="0" topLeftCell="A1">
      <selection activeCell="A2" sqref="A2"/>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421875" style="36" customWidth="1"/>
    <col min="12" max="12" width="10.8515625" style="36" customWidth="1"/>
    <col min="13" max="16384" width="9.140625" style="36" customWidth="1"/>
  </cols>
  <sheetData>
    <row r="1" spans="1:12" ht="33.75" customHeight="1">
      <c r="A1" s="230" t="s">
        <v>416</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0" ht="12">
      <c r="A7" s="123" t="s">
        <v>171</v>
      </c>
      <c r="B7" s="67"/>
      <c r="C7" s="66">
        <v>65</v>
      </c>
      <c r="D7" s="67"/>
      <c r="E7" s="122" t="s">
        <v>9</v>
      </c>
      <c r="F7" s="67"/>
      <c r="G7" s="69">
        <v>9.9</v>
      </c>
      <c r="H7" s="67"/>
      <c r="I7" s="166">
        <f>C7*G7</f>
        <v>643.5</v>
      </c>
      <c r="J7" s="56"/>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36</v>
      </c>
      <c r="J11" s="56"/>
    </row>
    <row r="12" spans="1:10" ht="12">
      <c r="A12" s="88" t="s">
        <v>97</v>
      </c>
      <c r="B12" s="64"/>
      <c r="C12" s="79">
        <v>120</v>
      </c>
      <c r="D12" s="64"/>
      <c r="E12" s="80" t="s">
        <v>38</v>
      </c>
      <c r="F12" s="64"/>
      <c r="G12" s="91">
        <f>FB</f>
        <v>0.3</v>
      </c>
      <c r="H12" s="64"/>
      <c r="I12" s="75">
        <f>C12*G12</f>
        <v>36</v>
      </c>
      <c r="J12" s="56"/>
    </row>
    <row r="13" spans="1:10" ht="12">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110.30000000000001</v>
      </c>
      <c r="J15" s="56"/>
    </row>
    <row r="16" spans="1:10" ht="12">
      <c r="A16" s="79" t="s">
        <v>74</v>
      </c>
      <c r="B16" s="64"/>
      <c r="C16" s="79">
        <v>135</v>
      </c>
      <c r="D16" s="64"/>
      <c r="E16" s="80" t="s">
        <v>38</v>
      </c>
      <c r="F16" s="64"/>
      <c r="G16" s="91">
        <f>DN</f>
        <v>0.66</v>
      </c>
      <c r="H16" s="64"/>
      <c r="I16" s="75">
        <f aca="true" t="shared" si="0" ref="I16:I21">C16*G16</f>
        <v>89.10000000000001</v>
      </c>
      <c r="J16" s="56"/>
    </row>
    <row r="17" spans="1:10" ht="12">
      <c r="A17" s="79" t="s">
        <v>72</v>
      </c>
      <c r="B17" s="64"/>
      <c r="C17" s="79">
        <v>40</v>
      </c>
      <c r="D17" s="64"/>
      <c r="E17" s="80" t="s">
        <v>38</v>
      </c>
      <c r="F17" s="64"/>
      <c r="G17" s="91">
        <f>Dry</f>
        <v>0.53</v>
      </c>
      <c r="H17" s="64"/>
      <c r="I17" s="75">
        <f t="shared" si="0"/>
        <v>21.200000000000003</v>
      </c>
      <c r="J17" s="56"/>
    </row>
    <row r="18" spans="1:10" ht="12">
      <c r="A18" s="79"/>
      <c r="B18" s="64"/>
      <c r="C18" s="79"/>
      <c r="D18" s="64"/>
      <c r="E18" s="80"/>
      <c r="F18" s="64"/>
      <c r="G18" s="84"/>
      <c r="H18" s="64"/>
      <c r="I18" s="85">
        <f t="shared" si="0"/>
        <v>0</v>
      </c>
      <c r="J18" s="56"/>
    </row>
    <row r="19" spans="1:10" ht="12">
      <c r="A19" s="79"/>
      <c r="B19" s="64"/>
      <c r="C19" s="79"/>
      <c r="D19" s="64"/>
      <c r="E19" s="80"/>
      <c r="F19" s="64"/>
      <c r="G19" s="84"/>
      <c r="H19" s="64"/>
      <c r="I19" s="85">
        <f t="shared" si="0"/>
        <v>0</v>
      </c>
      <c r="J19" s="56"/>
    </row>
    <row r="20" spans="1:10" ht="12">
      <c r="A20" s="79"/>
      <c r="B20" s="64"/>
      <c r="C20" s="79"/>
      <c r="D20" s="64"/>
      <c r="E20" s="80"/>
      <c r="F20" s="64"/>
      <c r="G20" s="84"/>
      <c r="H20" s="64"/>
      <c r="I20" s="85">
        <f t="shared" si="0"/>
        <v>0</v>
      </c>
      <c r="J20" s="56"/>
    </row>
    <row r="21" spans="2:10" ht="12">
      <c r="B21" s="64"/>
      <c r="C21" s="79"/>
      <c r="D21" s="64"/>
      <c r="E21" s="80"/>
      <c r="F21" s="64"/>
      <c r="G21" s="82"/>
      <c r="H21" s="64"/>
      <c r="I21" s="85">
        <f t="shared" si="0"/>
        <v>0</v>
      </c>
      <c r="J21" s="56"/>
    </row>
    <row r="22" spans="1:10" ht="12">
      <c r="A22" s="64"/>
      <c r="B22" s="64"/>
      <c r="C22" s="64"/>
      <c r="D22" s="64"/>
      <c r="E22" s="65"/>
      <c r="F22" s="64"/>
      <c r="G22" s="74"/>
      <c r="H22" s="64"/>
      <c r="I22" s="85"/>
      <c r="J22" s="56"/>
    </row>
    <row r="23" spans="1:10" ht="12.75">
      <c r="A23" s="76" t="s">
        <v>17</v>
      </c>
      <c r="B23" s="64"/>
      <c r="C23" s="64"/>
      <c r="D23" s="64"/>
      <c r="E23" s="65"/>
      <c r="F23" s="64"/>
      <c r="G23" s="74"/>
      <c r="H23" s="64"/>
      <c r="I23" s="86">
        <f>SUM(I24:I28)</f>
        <v>28.9</v>
      </c>
      <c r="J23" s="56"/>
    </row>
    <row r="24" spans="1:10" ht="12">
      <c r="A24" s="78" t="s">
        <v>225</v>
      </c>
      <c r="B24" s="64"/>
      <c r="C24" s="79">
        <v>0.5</v>
      </c>
      <c r="D24" s="64"/>
      <c r="E24" s="89" t="s">
        <v>46</v>
      </c>
      <c r="F24" s="64"/>
      <c r="G24" s="91">
        <f>Harmony</f>
        <v>42</v>
      </c>
      <c r="H24" s="64"/>
      <c r="I24" s="85">
        <f>C24*G24</f>
        <v>21</v>
      </c>
      <c r="J24" s="56"/>
    </row>
    <row r="25" spans="1:13" ht="12">
      <c r="A25" s="78" t="s">
        <v>235</v>
      </c>
      <c r="B25" s="64"/>
      <c r="C25" s="79">
        <v>1</v>
      </c>
      <c r="D25" s="64"/>
      <c r="E25" s="89" t="s">
        <v>207</v>
      </c>
      <c r="F25" s="64"/>
      <c r="G25" s="91">
        <f>BronateA</f>
        <v>7.9</v>
      </c>
      <c r="H25" s="64"/>
      <c r="I25" s="85">
        <f>C25*G25</f>
        <v>7.9</v>
      </c>
      <c r="J25" s="56"/>
      <c r="K25" s="121"/>
      <c r="L25" s="121"/>
      <c r="M25" s="121"/>
    </row>
    <row r="26" spans="1:10" ht="12">
      <c r="A26" s="79"/>
      <c r="B26" s="64"/>
      <c r="C26" s="87"/>
      <c r="D26" s="64"/>
      <c r="E26" s="80"/>
      <c r="F26" s="64"/>
      <c r="G26" s="84"/>
      <c r="H26" s="64"/>
      <c r="I26" s="85">
        <f>C26*G26</f>
        <v>0</v>
      </c>
      <c r="J26" s="56"/>
    </row>
    <row r="27" spans="1:10" ht="12">
      <c r="A27" s="79"/>
      <c r="B27" s="64"/>
      <c r="C27" s="79"/>
      <c r="D27" s="64"/>
      <c r="E27" s="80"/>
      <c r="F27" s="64"/>
      <c r="G27" s="84"/>
      <c r="H27" s="64"/>
      <c r="I27" s="85">
        <f>C27*G27</f>
        <v>0</v>
      </c>
      <c r="J27" s="56"/>
    </row>
    <row r="28" spans="1:10" ht="12">
      <c r="A28" s="79"/>
      <c r="B28" s="64"/>
      <c r="C28" s="79"/>
      <c r="D28" s="64"/>
      <c r="E28" s="80"/>
      <c r="F28" s="64"/>
      <c r="G28" s="84"/>
      <c r="H28" s="64"/>
      <c r="I28" s="85">
        <f>C28*G28</f>
        <v>0</v>
      </c>
      <c r="J28" s="56"/>
    </row>
    <row r="29" spans="1:10" ht="5.25" customHeight="1">
      <c r="A29" s="64"/>
      <c r="B29" s="64"/>
      <c r="C29" s="64"/>
      <c r="D29" s="64"/>
      <c r="E29" s="65"/>
      <c r="F29" s="64"/>
      <c r="G29" s="74"/>
      <c r="H29" s="64"/>
      <c r="I29" s="85"/>
      <c r="J29" s="56"/>
    </row>
    <row r="30" spans="1:10" ht="12.75">
      <c r="A30" s="76" t="s">
        <v>43</v>
      </c>
      <c r="B30" s="64"/>
      <c r="C30" s="64"/>
      <c r="D30" s="64"/>
      <c r="E30" s="65"/>
      <c r="F30" s="64"/>
      <c r="G30" s="74"/>
      <c r="H30" s="64"/>
      <c r="I30" s="86">
        <f>SUM(I31:I35)</f>
        <v>82.9</v>
      </c>
      <c r="J30" s="56"/>
    </row>
    <row r="31" spans="1:10" ht="12">
      <c r="A31" s="79" t="s">
        <v>18</v>
      </c>
      <c r="B31" s="64"/>
      <c r="C31" s="79">
        <v>2</v>
      </c>
      <c r="D31" s="64"/>
      <c r="E31" s="80" t="s">
        <v>39</v>
      </c>
      <c r="F31" s="64"/>
      <c r="G31" s="91">
        <f>CF</f>
        <v>7.75</v>
      </c>
      <c r="H31" s="64"/>
      <c r="I31" s="85">
        <f>C31*G31</f>
        <v>15.5</v>
      </c>
      <c r="J31" s="56"/>
    </row>
    <row r="32" spans="1:10" ht="12">
      <c r="A32" s="88" t="s">
        <v>47</v>
      </c>
      <c r="B32" s="64"/>
      <c r="C32" s="79">
        <v>1</v>
      </c>
      <c r="D32" s="64"/>
      <c r="E32" s="80" t="s">
        <v>39</v>
      </c>
      <c r="F32" s="64"/>
      <c r="G32" s="81">
        <f>CCC</f>
        <v>55</v>
      </c>
      <c r="H32" s="64"/>
      <c r="I32" s="85">
        <f>C32*G32</f>
        <v>55</v>
      </c>
      <c r="J32" s="56"/>
    </row>
    <row r="33" spans="1:10" ht="12">
      <c r="A33" s="88" t="s">
        <v>48</v>
      </c>
      <c r="B33" s="64"/>
      <c r="C33" s="79">
        <v>62</v>
      </c>
      <c r="D33" s="64"/>
      <c r="E33" s="80" t="s">
        <v>9</v>
      </c>
      <c r="F33" s="64"/>
      <c r="G33" s="81">
        <v>0.2</v>
      </c>
      <c r="H33" s="64"/>
      <c r="I33" s="85">
        <f>C33*G33</f>
        <v>12.4</v>
      </c>
      <c r="J33" s="56"/>
    </row>
    <row r="34" spans="1:10" ht="12">
      <c r="A34" s="88"/>
      <c r="B34" s="64"/>
      <c r="C34" s="79"/>
      <c r="D34" s="64"/>
      <c r="E34" s="80"/>
      <c r="F34" s="64"/>
      <c r="G34" s="91"/>
      <c r="H34" s="64"/>
      <c r="I34" s="85">
        <f>C34*G34</f>
        <v>0</v>
      </c>
      <c r="J34" s="56"/>
    </row>
    <row r="35" spans="1:10" ht="12">
      <c r="A35" s="88"/>
      <c r="B35" s="64"/>
      <c r="C35" s="79"/>
      <c r="D35" s="64"/>
      <c r="E35" s="80"/>
      <c r="F35" s="64"/>
      <c r="G35" s="91"/>
      <c r="H35" s="64"/>
      <c r="I35" s="85">
        <f>C35*G35</f>
        <v>0</v>
      </c>
      <c r="J35" s="56"/>
    </row>
    <row r="36" spans="1:10" ht="12">
      <c r="A36" s="64"/>
      <c r="B36" s="64"/>
      <c r="C36" s="64"/>
      <c r="D36" s="64"/>
      <c r="E36" s="65"/>
      <c r="F36" s="64"/>
      <c r="G36" s="74"/>
      <c r="H36" s="64"/>
      <c r="I36" s="85"/>
      <c r="J36" s="56"/>
    </row>
    <row r="37" spans="1:10" ht="12.75">
      <c r="A37" s="76" t="s">
        <v>22</v>
      </c>
      <c r="B37" s="64"/>
      <c r="C37" s="64"/>
      <c r="D37" s="64"/>
      <c r="E37" s="65"/>
      <c r="F37" s="64"/>
      <c r="G37" s="74"/>
      <c r="H37" s="64"/>
      <c r="I37" s="86">
        <f>SUM(I38:I40)</f>
        <v>51.6</v>
      </c>
      <c r="J37" s="56"/>
    </row>
    <row r="38" spans="1:10" ht="12">
      <c r="A38" s="79" t="s">
        <v>21</v>
      </c>
      <c r="B38" s="64"/>
      <c r="C38" s="79">
        <v>1</v>
      </c>
      <c r="D38" s="64"/>
      <c r="E38" s="80" t="s">
        <v>86</v>
      </c>
      <c r="F38" s="64"/>
      <c r="G38" s="91">
        <f>WaterA</f>
        <v>48.85</v>
      </c>
      <c r="H38" s="64"/>
      <c r="I38" s="85">
        <f>C38*G38</f>
        <v>48.85</v>
      </c>
      <c r="J38" s="56"/>
    </row>
    <row r="39" spans="1:10" ht="12">
      <c r="A39" s="79" t="s">
        <v>89</v>
      </c>
      <c r="B39" s="64"/>
      <c r="C39" s="79">
        <v>1</v>
      </c>
      <c r="D39" s="64"/>
      <c r="E39" s="80" t="s">
        <v>86</v>
      </c>
      <c r="F39" s="64"/>
      <c r="G39" s="91">
        <f>IrrigationR</f>
        <v>2.75</v>
      </c>
      <c r="H39" s="64"/>
      <c r="I39" s="85">
        <f>C39*G39</f>
        <v>2.75</v>
      </c>
      <c r="J39" s="56"/>
    </row>
    <row r="40" spans="1:10" ht="12">
      <c r="A40" s="79"/>
      <c r="B40" s="64"/>
      <c r="C40" s="79"/>
      <c r="D40" s="64"/>
      <c r="E40" s="80"/>
      <c r="F40" s="64"/>
      <c r="G40" s="92"/>
      <c r="H40" s="64"/>
      <c r="I40" s="85">
        <f>C40*G40</f>
        <v>0</v>
      </c>
      <c r="J40" s="56"/>
    </row>
    <row r="41" spans="1:10" ht="5.25" customHeight="1">
      <c r="A41" s="64"/>
      <c r="B41" s="64"/>
      <c r="C41" s="64"/>
      <c r="D41" s="64"/>
      <c r="E41" s="65"/>
      <c r="F41" s="64"/>
      <c r="G41" s="74"/>
      <c r="H41" s="64"/>
      <c r="I41" s="85"/>
      <c r="J41" s="56"/>
    </row>
    <row r="42" spans="1:10" ht="12.75">
      <c r="A42" s="76" t="s">
        <v>149</v>
      </c>
      <c r="B42" s="64"/>
      <c r="C42" s="93"/>
      <c r="D42" s="64"/>
      <c r="E42" s="65"/>
      <c r="F42" s="64"/>
      <c r="G42" s="74"/>
      <c r="H42" s="64"/>
      <c r="I42" s="86">
        <f>SUM(I43:I47)</f>
        <v>47.271</v>
      </c>
      <c r="J42" s="56"/>
    </row>
    <row r="43" spans="1:10" ht="12">
      <c r="A43" s="78" t="s">
        <v>150</v>
      </c>
      <c r="B43" s="64"/>
      <c r="C43" s="79">
        <v>1.27</v>
      </c>
      <c r="D43" s="64"/>
      <c r="E43" s="89" t="s">
        <v>91</v>
      </c>
      <c r="F43" s="64"/>
      <c r="G43" s="91">
        <f>FuelGas</f>
        <v>3.7</v>
      </c>
      <c r="H43" s="64"/>
      <c r="I43" s="85">
        <f>C43*G43</f>
        <v>4.699000000000001</v>
      </c>
      <c r="J43" s="56"/>
    </row>
    <row r="44" spans="1:10" ht="12">
      <c r="A44" s="78" t="s">
        <v>151</v>
      </c>
      <c r="B44" s="64"/>
      <c r="C44" s="79">
        <v>7.67</v>
      </c>
      <c r="D44" s="64"/>
      <c r="E44" s="89" t="s">
        <v>91</v>
      </c>
      <c r="F44" s="64"/>
      <c r="G44" s="91">
        <f>FuelD</f>
        <v>3.6</v>
      </c>
      <c r="H44" s="64"/>
      <c r="I44" s="85">
        <f>C44*G44</f>
        <v>27.612000000000002</v>
      </c>
      <c r="J44" s="56"/>
    </row>
    <row r="45" spans="1:10" ht="12">
      <c r="A45" s="78" t="s">
        <v>284</v>
      </c>
      <c r="B45" s="64"/>
      <c r="C45" s="79">
        <v>0.1</v>
      </c>
      <c r="D45" s="64"/>
      <c r="E45" s="89" t="s">
        <v>91</v>
      </c>
      <c r="F45" s="64"/>
      <c r="G45" s="91">
        <f>FuelRD</f>
        <v>4.1</v>
      </c>
      <c r="H45" s="64"/>
      <c r="I45" s="85">
        <f>C45*G45</f>
        <v>0.41</v>
      </c>
      <c r="J45" s="56"/>
    </row>
    <row r="46" spans="1:10" ht="12">
      <c r="A46" s="83" t="s">
        <v>152</v>
      </c>
      <c r="B46" s="64"/>
      <c r="C46" s="79">
        <v>1</v>
      </c>
      <c r="D46" s="64"/>
      <c r="E46" s="89" t="s">
        <v>39</v>
      </c>
      <c r="F46" s="64"/>
      <c r="G46" s="91">
        <v>4.75</v>
      </c>
      <c r="H46" s="64"/>
      <c r="I46" s="85">
        <f>C46*G46</f>
        <v>4.75</v>
      </c>
      <c r="J46" s="56"/>
    </row>
    <row r="47" spans="1:10" ht="12">
      <c r="A47" s="83" t="s">
        <v>26</v>
      </c>
      <c r="B47" s="64"/>
      <c r="C47" s="79">
        <v>1</v>
      </c>
      <c r="D47" s="64"/>
      <c r="E47" s="89" t="s">
        <v>39</v>
      </c>
      <c r="F47" s="64"/>
      <c r="G47" s="91">
        <v>9.8</v>
      </c>
      <c r="H47" s="64"/>
      <c r="I47" s="85">
        <f>C47*G47</f>
        <v>9.8</v>
      </c>
      <c r="J47" s="56"/>
    </row>
    <row r="48" spans="1:10" ht="5.25" customHeight="1">
      <c r="A48" s="94"/>
      <c r="B48" s="93"/>
      <c r="C48" s="95"/>
      <c r="D48" s="93"/>
      <c r="E48" s="96"/>
      <c r="F48" s="93"/>
      <c r="G48" s="97"/>
      <c r="H48" s="64"/>
      <c r="I48" s="85"/>
      <c r="J48" s="56"/>
    </row>
    <row r="49" spans="1:10" ht="12.75">
      <c r="A49" s="76" t="s">
        <v>155</v>
      </c>
      <c r="B49" s="64"/>
      <c r="C49" s="93"/>
      <c r="D49" s="64"/>
      <c r="E49" s="65"/>
      <c r="F49" s="64"/>
      <c r="G49" s="74"/>
      <c r="H49" s="64"/>
      <c r="I49" s="86">
        <f>SUM(I50:I52)</f>
        <v>65.27300000000001</v>
      </c>
      <c r="J49" s="56"/>
    </row>
    <row r="50" spans="1:10" ht="12">
      <c r="A50" s="78" t="s">
        <v>156</v>
      </c>
      <c r="B50" s="64"/>
      <c r="C50" s="79">
        <v>1.76</v>
      </c>
      <c r="D50" s="64"/>
      <c r="E50" s="89" t="s">
        <v>42</v>
      </c>
      <c r="F50" s="64"/>
      <c r="G50" s="91">
        <f>Labor</f>
        <v>17.8</v>
      </c>
      <c r="H50" s="64"/>
      <c r="I50" s="85">
        <f>C50*G50</f>
        <v>31.328000000000003</v>
      </c>
      <c r="J50" s="56"/>
    </row>
    <row r="51" spans="1:10" ht="12">
      <c r="A51" s="78" t="s">
        <v>158</v>
      </c>
      <c r="B51" s="64"/>
      <c r="C51" s="79">
        <v>2.45</v>
      </c>
      <c r="D51" s="64"/>
      <c r="E51" s="80" t="s">
        <v>42</v>
      </c>
      <c r="F51" s="64"/>
      <c r="G51" s="91">
        <f>IrriL</f>
        <v>12.6</v>
      </c>
      <c r="H51" s="64"/>
      <c r="I51" s="85">
        <f>C51*G51</f>
        <v>30.87</v>
      </c>
      <c r="J51" s="56"/>
    </row>
    <row r="52" spans="1:10" ht="12">
      <c r="A52" s="78" t="s">
        <v>153</v>
      </c>
      <c r="B52" s="64"/>
      <c r="C52" s="79">
        <v>0.3</v>
      </c>
      <c r="D52" s="64"/>
      <c r="E52" s="89" t="s">
        <v>42</v>
      </c>
      <c r="F52" s="64"/>
      <c r="G52" s="91">
        <f>Laborother</f>
        <v>10.25</v>
      </c>
      <c r="H52" s="64"/>
      <c r="I52" s="85">
        <f>C52*G52</f>
        <v>3.0749999999999997</v>
      </c>
      <c r="J52" s="56"/>
    </row>
    <row r="53" spans="1:10" ht="5.25" customHeight="1">
      <c r="A53" s="95"/>
      <c r="B53" s="93"/>
      <c r="C53" s="95"/>
      <c r="D53" s="93"/>
      <c r="E53" s="96"/>
      <c r="F53" s="93"/>
      <c r="G53" s="97"/>
      <c r="H53" s="64"/>
      <c r="I53" s="85"/>
      <c r="J53" s="56"/>
    </row>
    <row r="54" spans="1:10" ht="12.75">
      <c r="A54" s="76" t="s">
        <v>154</v>
      </c>
      <c r="B54" s="64"/>
      <c r="C54" s="93"/>
      <c r="D54" s="64"/>
      <c r="E54" s="65"/>
      <c r="F54" s="64"/>
      <c r="G54" s="74"/>
      <c r="H54" s="64"/>
      <c r="I54" s="86">
        <f>SUM(I55:I56)</f>
        <v>0</v>
      </c>
      <c r="J54" s="56"/>
    </row>
    <row r="55" spans="1:10" ht="12">
      <c r="A55" s="78"/>
      <c r="B55" s="64"/>
      <c r="C55" s="79"/>
      <c r="D55" s="64"/>
      <c r="E55" s="89"/>
      <c r="F55" s="64"/>
      <c r="G55" s="92"/>
      <c r="H55" s="64"/>
      <c r="I55" s="85">
        <f>C55*G55</f>
        <v>0</v>
      </c>
      <c r="J55" s="56"/>
    </row>
    <row r="56" spans="1:10" ht="12">
      <c r="A56" s="78"/>
      <c r="B56" s="64"/>
      <c r="C56" s="79"/>
      <c r="D56" s="64"/>
      <c r="E56" s="80"/>
      <c r="F56" s="64"/>
      <c r="G56" s="92"/>
      <c r="H56" s="64"/>
      <c r="I56" s="85">
        <f>C56*G56</f>
        <v>0</v>
      </c>
      <c r="J56" s="56"/>
    </row>
    <row r="57" spans="1:10" ht="6" customHeight="1">
      <c r="A57" s="94"/>
      <c r="B57" s="93"/>
      <c r="C57" s="95"/>
      <c r="D57" s="93"/>
      <c r="E57" s="96"/>
      <c r="F57" s="93"/>
      <c r="G57" s="100"/>
      <c r="H57" s="64"/>
      <c r="I57" s="85"/>
      <c r="J57" s="56"/>
    </row>
    <row r="58" spans="1:10" ht="12.75">
      <c r="A58" s="76" t="s">
        <v>23</v>
      </c>
      <c r="B58" s="64"/>
      <c r="C58" s="64"/>
      <c r="D58" s="64"/>
      <c r="E58" s="65"/>
      <c r="F58" s="64"/>
      <c r="G58" s="74"/>
      <c r="H58" s="64"/>
      <c r="I58" s="86">
        <f>SUM(I59:I60)</f>
        <v>13.5</v>
      </c>
      <c r="J58" s="56"/>
    </row>
    <row r="59" spans="1:10" ht="12">
      <c r="A59" s="79" t="s">
        <v>24</v>
      </c>
      <c r="B59" s="64"/>
      <c r="C59" s="79">
        <v>1</v>
      </c>
      <c r="D59" s="64"/>
      <c r="E59" s="80" t="s">
        <v>39</v>
      </c>
      <c r="F59" s="64"/>
      <c r="G59" s="81">
        <v>13.5</v>
      </c>
      <c r="H59" s="64"/>
      <c r="I59" s="85">
        <f>C59*G59</f>
        <v>13.5</v>
      </c>
      <c r="J59" s="56"/>
    </row>
    <row r="60" spans="1:10" ht="12">
      <c r="A60" s="79"/>
      <c r="B60" s="64"/>
      <c r="C60" s="79"/>
      <c r="D60" s="64"/>
      <c r="E60" s="80"/>
      <c r="F60" s="64"/>
      <c r="G60" s="84"/>
      <c r="H60" s="64"/>
      <c r="I60" s="85">
        <f>C60*G60</f>
        <v>0</v>
      </c>
      <c r="J60" s="56"/>
    </row>
    <row r="61" spans="1:10" ht="4.5" customHeight="1">
      <c r="A61" s="95"/>
      <c r="B61" s="93"/>
      <c r="C61" s="95"/>
      <c r="D61" s="93"/>
      <c r="E61" s="96"/>
      <c r="F61" s="93"/>
      <c r="G61" s="97"/>
      <c r="H61" s="64"/>
      <c r="I61" s="101"/>
      <c r="J61" s="56"/>
    </row>
    <row r="62" spans="1:10" ht="12">
      <c r="A62" s="102" t="s">
        <v>388</v>
      </c>
      <c r="B62" s="64"/>
      <c r="C62" s="235"/>
      <c r="D62" s="235"/>
      <c r="E62" s="235"/>
      <c r="F62" s="235"/>
      <c r="G62" s="235"/>
      <c r="H62" s="64"/>
      <c r="I62" s="91">
        <f>SUM(I58+I49+I42+I37+I30+I23+I15+I11)*Oper*0.45</f>
        <v>13.235724000000001</v>
      </c>
      <c r="J62" s="56"/>
    </row>
    <row r="63" spans="1:10" ht="5.25" customHeight="1">
      <c r="A63" s="64"/>
      <c r="B63" s="64"/>
      <c r="C63" s="64"/>
      <c r="D63" s="64"/>
      <c r="E63" s="65"/>
      <c r="F63" s="64"/>
      <c r="G63" s="64"/>
      <c r="H63" s="64"/>
      <c r="I63" s="85"/>
      <c r="J63" s="56"/>
    </row>
    <row r="64" spans="1:10" ht="12">
      <c r="A64" s="64" t="s">
        <v>27</v>
      </c>
      <c r="B64" s="64"/>
      <c r="C64" s="64"/>
      <c r="D64" s="64"/>
      <c r="E64" s="65"/>
      <c r="F64" s="64"/>
      <c r="G64" s="64"/>
      <c r="H64" s="64"/>
      <c r="I64" s="85">
        <f>SUM(I11:I62)-(I11+I15+I23+I30+I37+I42+I49+I54+I58)</f>
        <v>448.97972399999975</v>
      </c>
      <c r="J64" s="56"/>
    </row>
    <row r="65" spans="1:10" ht="12">
      <c r="A65" s="64" t="s">
        <v>28</v>
      </c>
      <c r="B65" s="64"/>
      <c r="C65" s="64"/>
      <c r="D65" s="64"/>
      <c r="E65" s="65"/>
      <c r="F65" s="64"/>
      <c r="G65" s="64"/>
      <c r="H65" s="64"/>
      <c r="I65" s="85">
        <f>I64/C7</f>
        <v>6.907380369230765</v>
      </c>
      <c r="J65" s="56"/>
    </row>
    <row r="66" spans="1:10" ht="5.25" customHeight="1">
      <c r="A66" s="64"/>
      <c r="B66" s="64"/>
      <c r="C66" s="64"/>
      <c r="D66" s="64"/>
      <c r="E66" s="65"/>
      <c r="F66" s="64"/>
      <c r="G66" s="64"/>
      <c r="H66" s="64"/>
      <c r="I66" s="85"/>
      <c r="J66" s="56"/>
    </row>
    <row r="67" spans="1:10" ht="12">
      <c r="A67" s="59" t="s">
        <v>29</v>
      </c>
      <c r="B67" s="59"/>
      <c r="C67" s="59"/>
      <c r="D67" s="59"/>
      <c r="E67" s="60"/>
      <c r="F67" s="59"/>
      <c r="G67" s="59"/>
      <c r="H67" s="59"/>
      <c r="I67" s="103">
        <f>I7-I64</f>
        <v>194.52027600000025</v>
      </c>
      <c r="J67" s="56"/>
    </row>
    <row r="68" spans="1:10" ht="5.25" customHeight="1">
      <c r="A68" s="64"/>
      <c r="B68" s="64"/>
      <c r="C68" s="64"/>
      <c r="D68" s="64"/>
      <c r="E68" s="65"/>
      <c r="F68" s="64"/>
      <c r="G68" s="64"/>
      <c r="H68" s="64"/>
      <c r="I68" s="85"/>
      <c r="J68" s="56"/>
    </row>
    <row r="69" spans="1:10" ht="12.75">
      <c r="A69" s="63" t="s">
        <v>30</v>
      </c>
      <c r="B69" s="64"/>
      <c r="C69" s="64"/>
      <c r="D69" s="64"/>
      <c r="E69" s="65"/>
      <c r="F69" s="64"/>
      <c r="G69" s="64"/>
      <c r="H69" s="64"/>
      <c r="I69" s="85"/>
      <c r="J69" s="56"/>
    </row>
    <row r="70" spans="1:10" ht="12">
      <c r="A70" s="234" t="s">
        <v>63</v>
      </c>
      <c r="B70" s="234"/>
      <c r="C70" s="234"/>
      <c r="D70" s="235"/>
      <c r="E70" s="235"/>
      <c r="F70" s="235"/>
      <c r="G70" s="235"/>
      <c r="H70" s="235"/>
      <c r="I70" s="91">
        <v>1.12</v>
      </c>
      <c r="J70" s="56"/>
    </row>
    <row r="71" spans="1:10" ht="12">
      <c r="A71" s="236" t="s">
        <v>352</v>
      </c>
      <c r="B71" s="236"/>
      <c r="C71" s="236"/>
      <c r="D71" s="235"/>
      <c r="E71" s="235"/>
      <c r="F71" s="235"/>
      <c r="G71" s="235"/>
      <c r="H71" s="235"/>
      <c r="I71" s="91">
        <v>42.45</v>
      </c>
      <c r="J71" s="56"/>
    </row>
    <row r="72" spans="1:10" ht="12">
      <c r="A72" s="237" t="s">
        <v>44</v>
      </c>
      <c r="B72" s="237"/>
      <c r="C72" s="237"/>
      <c r="D72" s="235"/>
      <c r="E72" s="235"/>
      <c r="F72" s="235"/>
      <c r="G72" s="235"/>
      <c r="H72" s="235"/>
      <c r="I72" s="91">
        <v>200</v>
      </c>
      <c r="J72" s="56"/>
    </row>
    <row r="73" spans="1:10" ht="12">
      <c r="A73" s="237" t="s">
        <v>31</v>
      </c>
      <c r="B73" s="237"/>
      <c r="C73" s="237"/>
      <c r="D73" s="235"/>
      <c r="E73" s="235"/>
      <c r="F73" s="235"/>
      <c r="G73" s="235"/>
      <c r="H73" s="235"/>
      <c r="I73" s="91">
        <v>10</v>
      </c>
      <c r="J73" s="56"/>
    </row>
    <row r="74" spans="1:10" ht="12">
      <c r="A74" s="237" t="s">
        <v>32</v>
      </c>
      <c r="B74" s="237"/>
      <c r="C74" s="237"/>
      <c r="D74" s="235"/>
      <c r="E74" s="235"/>
      <c r="F74" s="235"/>
      <c r="G74" s="235"/>
      <c r="H74" s="235"/>
      <c r="I74" s="91">
        <v>20</v>
      </c>
      <c r="J74" s="56"/>
    </row>
    <row r="75" spans="1:10" ht="12">
      <c r="A75" s="237"/>
      <c r="B75" s="237"/>
      <c r="C75" s="237"/>
      <c r="D75" s="235"/>
      <c r="E75" s="235"/>
      <c r="F75" s="235"/>
      <c r="G75" s="235"/>
      <c r="H75" s="235"/>
      <c r="I75" s="88"/>
      <c r="J75" s="56"/>
    </row>
    <row r="76" spans="1:10" ht="12">
      <c r="A76" s="237"/>
      <c r="B76" s="237"/>
      <c r="C76" s="237"/>
      <c r="D76" s="235"/>
      <c r="E76" s="235"/>
      <c r="F76" s="235"/>
      <c r="G76" s="235"/>
      <c r="H76" s="235"/>
      <c r="I76" s="104"/>
      <c r="J76" s="56"/>
    </row>
    <row r="77" spans="1:10" ht="5.25" customHeight="1">
      <c r="A77" s="64"/>
      <c r="B77" s="64"/>
      <c r="C77" s="64"/>
      <c r="D77" s="64"/>
      <c r="E77" s="65"/>
      <c r="F77" s="64"/>
      <c r="G77" s="64"/>
      <c r="H77" s="64"/>
      <c r="I77" s="85"/>
      <c r="J77" s="56"/>
    </row>
    <row r="78" spans="1:10" ht="12.75">
      <c r="A78" s="76" t="s">
        <v>33</v>
      </c>
      <c r="B78" s="64"/>
      <c r="C78" s="64"/>
      <c r="D78" s="64"/>
      <c r="E78" s="65"/>
      <c r="F78" s="64"/>
      <c r="G78" s="64"/>
      <c r="H78" s="64"/>
      <c r="I78" s="85">
        <f>SUM(I69:I76)</f>
        <v>273.57</v>
      </c>
      <c r="J78" s="56"/>
    </row>
    <row r="79" spans="1:10" ht="12.75">
      <c r="A79" s="76" t="s">
        <v>34</v>
      </c>
      <c r="B79" s="64"/>
      <c r="C79" s="64"/>
      <c r="D79" s="64"/>
      <c r="E79" s="65"/>
      <c r="F79" s="64"/>
      <c r="G79" s="64"/>
      <c r="H79" s="64"/>
      <c r="I79" s="85">
        <f>I78/C7</f>
        <v>4.208769230769231</v>
      </c>
      <c r="J79" s="56"/>
    </row>
    <row r="80" spans="1:10" ht="12">
      <c r="A80" s="64"/>
      <c r="B80" s="64"/>
      <c r="C80" s="64"/>
      <c r="D80" s="64"/>
      <c r="E80" s="65"/>
      <c r="F80" s="64"/>
      <c r="G80" s="64"/>
      <c r="H80" s="64"/>
      <c r="I80" s="85"/>
      <c r="J80" s="56"/>
    </row>
    <row r="81" spans="1:10" ht="12.75">
      <c r="A81" s="76" t="s">
        <v>35</v>
      </c>
      <c r="B81" s="64"/>
      <c r="C81" s="64"/>
      <c r="D81" s="64"/>
      <c r="E81" s="65"/>
      <c r="F81" s="64"/>
      <c r="G81" s="64"/>
      <c r="H81" s="64"/>
      <c r="I81" s="85">
        <f>I64+I78</f>
        <v>722.5497239999997</v>
      </c>
      <c r="J81" s="56"/>
    </row>
    <row r="82" spans="1:10" ht="12.75">
      <c r="A82" s="76" t="s">
        <v>36</v>
      </c>
      <c r="B82" s="64"/>
      <c r="C82" s="64"/>
      <c r="D82" s="64"/>
      <c r="E82" s="65"/>
      <c r="F82" s="64"/>
      <c r="G82" s="64"/>
      <c r="H82" s="64"/>
      <c r="I82" s="85">
        <f>I81/C7</f>
        <v>11.116149599999996</v>
      </c>
      <c r="J82" s="56"/>
    </row>
    <row r="83" spans="1:10" ht="12">
      <c r="A83" s="64"/>
      <c r="B83" s="64"/>
      <c r="C83" s="64"/>
      <c r="D83" s="64"/>
      <c r="E83" s="65"/>
      <c r="F83" s="64"/>
      <c r="G83" s="64"/>
      <c r="H83" s="64"/>
      <c r="I83" s="85"/>
      <c r="J83" s="56"/>
    </row>
    <row r="84" spans="1:10" ht="12">
      <c r="A84" s="64" t="s">
        <v>37</v>
      </c>
      <c r="B84" s="64"/>
      <c r="C84" s="64"/>
      <c r="D84" s="64"/>
      <c r="E84" s="65"/>
      <c r="F84" s="64"/>
      <c r="G84" s="64"/>
      <c r="H84" s="64"/>
      <c r="I84" s="85">
        <f>I7-I81</f>
        <v>-79.04972399999974</v>
      </c>
      <c r="J84" s="56"/>
    </row>
    <row r="85" spans="1:10" ht="12">
      <c r="A85" s="59"/>
      <c r="B85" s="59"/>
      <c r="C85" s="59"/>
      <c r="D85" s="59"/>
      <c r="E85" s="60"/>
      <c r="F85" s="59"/>
      <c r="G85" s="59"/>
      <c r="H85" s="59"/>
      <c r="I85" s="61"/>
      <c r="J85" s="62"/>
    </row>
    <row r="86" spans="1:10" ht="12">
      <c r="A86" s="67" t="s">
        <v>87</v>
      </c>
      <c r="B86" s="67"/>
      <c r="C86" s="67"/>
      <c r="D86" s="67"/>
      <c r="E86" s="72"/>
      <c r="F86" s="67"/>
      <c r="G86" s="67"/>
      <c r="H86" s="67"/>
      <c r="I86" s="67"/>
      <c r="J86" s="105"/>
    </row>
    <row r="87" spans="1:10" ht="12">
      <c r="A87" s="238" t="s">
        <v>45</v>
      </c>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238"/>
      <c r="B90" s="238"/>
      <c r="C90" s="238"/>
      <c r="D90" s="238"/>
      <c r="E90" s="238"/>
      <c r="F90" s="238"/>
      <c r="G90" s="238"/>
      <c r="H90" s="238"/>
      <c r="I90" s="238"/>
      <c r="J90" s="93"/>
    </row>
    <row r="91" spans="1:10" ht="12">
      <c r="A91" s="238"/>
      <c r="B91" s="238"/>
      <c r="C91" s="238"/>
      <c r="D91" s="238"/>
      <c r="E91" s="238"/>
      <c r="F91" s="238"/>
      <c r="G91" s="238"/>
      <c r="H91" s="238"/>
      <c r="I91" s="238"/>
      <c r="J91" s="93"/>
    </row>
    <row r="92" spans="1:10" ht="12">
      <c r="A92" s="64"/>
      <c r="B92" s="64"/>
      <c r="C92" s="64"/>
      <c r="D92" s="64"/>
      <c r="E92" s="65"/>
      <c r="F92" s="64"/>
      <c r="G92" s="64"/>
      <c r="H92" s="64"/>
      <c r="I92" s="64"/>
      <c r="J92" s="93"/>
    </row>
    <row r="93" spans="1:10" ht="12.75">
      <c r="A93" s="106" t="s">
        <v>52</v>
      </c>
      <c r="B93" s="64"/>
      <c r="C93" s="107" t="s">
        <v>56</v>
      </c>
      <c r="D93" s="64"/>
      <c r="E93" s="65" t="s">
        <v>54</v>
      </c>
      <c r="F93" s="64"/>
      <c r="G93" s="107" t="s">
        <v>55</v>
      </c>
      <c r="H93" s="64"/>
      <c r="I93" s="64"/>
      <c r="J93" s="93"/>
    </row>
    <row r="94" spans="1:10" ht="12">
      <c r="A94" s="64"/>
      <c r="B94" s="64"/>
      <c r="C94" s="108">
        <v>0.1</v>
      </c>
      <c r="D94" s="64"/>
      <c r="E94" s="65"/>
      <c r="F94" s="64"/>
      <c r="G94" s="108">
        <v>0.1</v>
      </c>
      <c r="H94" s="64"/>
      <c r="I94" s="64"/>
      <c r="J94" s="93"/>
    </row>
    <row r="95" spans="1:10" ht="12">
      <c r="A95" s="64"/>
      <c r="B95" s="64"/>
      <c r="C95" s="109"/>
      <c r="D95" s="59"/>
      <c r="E95" s="58" t="s">
        <v>53</v>
      </c>
      <c r="F95" s="59"/>
      <c r="G95" s="109"/>
      <c r="H95" s="64"/>
      <c r="I95" s="64"/>
      <c r="J95" s="93"/>
    </row>
    <row r="96" spans="1:10" ht="12">
      <c r="A96" s="110" t="s">
        <v>49</v>
      </c>
      <c r="B96" s="64"/>
      <c r="C96" s="111">
        <f>E96*(1-C94)</f>
        <v>58.5</v>
      </c>
      <c r="D96" s="112"/>
      <c r="E96" s="113">
        <f>C7</f>
        <v>65</v>
      </c>
      <c r="F96" s="112"/>
      <c r="G96" s="114">
        <f>E96*(1+G94)</f>
        <v>71.5</v>
      </c>
      <c r="H96" s="64"/>
      <c r="I96" s="64"/>
      <c r="J96" s="93"/>
    </row>
    <row r="97" spans="1:10" ht="4.5" customHeight="1">
      <c r="A97" s="64"/>
      <c r="B97" s="64"/>
      <c r="C97" s="64"/>
      <c r="D97" s="64"/>
      <c r="E97" s="65"/>
      <c r="F97" s="64"/>
      <c r="G97" s="64"/>
      <c r="H97" s="64"/>
      <c r="I97" s="64"/>
      <c r="J97" s="93"/>
    </row>
    <row r="98" spans="1:10" ht="12">
      <c r="A98" s="64" t="s">
        <v>57</v>
      </c>
      <c r="B98" s="64"/>
      <c r="C98" s="115">
        <f>$I$64/C96</f>
        <v>7.674867076923072</v>
      </c>
      <c r="D98" s="64"/>
      <c r="E98" s="115">
        <f>$I$64/E96</f>
        <v>6.907380369230765</v>
      </c>
      <c r="F98" s="64"/>
      <c r="G98" s="115">
        <f>$I$64/G96</f>
        <v>6.279436699300696</v>
      </c>
      <c r="H98" s="64"/>
      <c r="I98" s="64"/>
      <c r="J98" s="93"/>
    </row>
    <row r="99" spans="1:10" ht="4.5" customHeight="1">
      <c r="A99" s="64"/>
      <c r="B99" s="64"/>
      <c r="C99" s="64"/>
      <c r="D99" s="64"/>
      <c r="E99" s="65"/>
      <c r="F99" s="64"/>
      <c r="G99" s="64"/>
      <c r="H99" s="64"/>
      <c r="I99" s="64"/>
      <c r="J99" s="93"/>
    </row>
    <row r="100" spans="1:10" ht="12">
      <c r="A100" s="64" t="s">
        <v>58</v>
      </c>
      <c r="B100" s="64"/>
      <c r="C100" s="115">
        <f>$I$78/C96</f>
        <v>4.676410256410256</v>
      </c>
      <c r="D100" s="64"/>
      <c r="E100" s="115">
        <f>$I$78/E96</f>
        <v>4.208769230769231</v>
      </c>
      <c r="F100" s="64"/>
      <c r="G100" s="115">
        <f>$I$78/G96</f>
        <v>3.8261538461538462</v>
      </c>
      <c r="H100" s="64"/>
      <c r="I100" s="64"/>
      <c r="J100" s="93"/>
    </row>
    <row r="101" spans="1:10" ht="3.75" customHeight="1">
      <c r="A101" s="64"/>
      <c r="B101" s="64"/>
      <c r="C101" s="64"/>
      <c r="D101" s="64"/>
      <c r="E101" s="65"/>
      <c r="F101" s="64"/>
      <c r="G101" s="64"/>
      <c r="H101" s="64"/>
      <c r="I101" s="64"/>
      <c r="J101" s="93"/>
    </row>
    <row r="102" spans="1:10" ht="12">
      <c r="A102" s="64" t="s">
        <v>59</v>
      </c>
      <c r="B102" s="64"/>
      <c r="C102" s="115">
        <f>$I$81/C96</f>
        <v>12.351277333333329</v>
      </c>
      <c r="D102" s="64"/>
      <c r="E102" s="115">
        <f>$I$81/E96</f>
        <v>11.116149599999996</v>
      </c>
      <c r="F102" s="64"/>
      <c r="G102" s="115">
        <f>$I$81/G96</f>
        <v>10.105590545454541</v>
      </c>
      <c r="H102" s="64"/>
      <c r="I102" s="64"/>
      <c r="J102" s="93"/>
    </row>
    <row r="103" spans="1:10" ht="5.25" customHeight="1">
      <c r="A103" s="67"/>
      <c r="B103" s="67"/>
      <c r="C103" s="67"/>
      <c r="D103" s="67"/>
      <c r="E103" s="72"/>
      <c r="F103" s="67"/>
      <c r="G103" s="67"/>
      <c r="H103" s="67"/>
      <c r="I103" s="67"/>
      <c r="J103" s="93"/>
    </row>
    <row r="104" spans="1:10" ht="12">
      <c r="A104" s="64"/>
      <c r="B104" s="64"/>
      <c r="C104" s="64"/>
      <c r="D104" s="64"/>
      <c r="E104" s="65"/>
      <c r="F104" s="64"/>
      <c r="G104" s="64"/>
      <c r="H104" s="64"/>
      <c r="I104" s="64"/>
      <c r="J104" s="93"/>
    </row>
    <row r="105" spans="1:10" ht="12">
      <c r="A105" s="64"/>
      <c r="B105" s="64"/>
      <c r="C105" s="59"/>
      <c r="D105" s="59"/>
      <c r="E105" s="60" t="s">
        <v>49</v>
      </c>
      <c r="F105" s="59"/>
      <c r="G105" s="59"/>
      <c r="H105" s="64"/>
      <c r="I105" s="64"/>
      <c r="J105" s="93"/>
    </row>
    <row r="106" spans="1:10" ht="12">
      <c r="A106" s="110" t="s">
        <v>53</v>
      </c>
      <c r="B106" s="64"/>
      <c r="C106" s="116">
        <f>E106*(1-C94)</f>
        <v>8.91</v>
      </c>
      <c r="D106" s="112"/>
      <c r="E106" s="117">
        <f>G7</f>
        <v>9.9</v>
      </c>
      <c r="F106" s="112"/>
      <c r="G106" s="116">
        <f>E106*(1+G94)</f>
        <v>10.89</v>
      </c>
      <c r="H106" s="64"/>
      <c r="I106" s="64"/>
      <c r="J106" s="93"/>
    </row>
    <row r="107" spans="1:10" ht="4.5" customHeight="1">
      <c r="A107" s="64"/>
      <c r="B107" s="64"/>
      <c r="C107" s="64"/>
      <c r="D107" s="64"/>
      <c r="E107" s="65"/>
      <c r="F107" s="64"/>
      <c r="G107" s="64"/>
      <c r="H107" s="64"/>
      <c r="I107" s="64"/>
      <c r="J107" s="93"/>
    </row>
    <row r="108" spans="1:10" ht="12">
      <c r="A108" s="64" t="s">
        <v>57</v>
      </c>
      <c r="B108" s="64"/>
      <c r="C108" s="118">
        <f>$I$64/C106</f>
        <v>50.39054141414139</v>
      </c>
      <c r="D108" s="64"/>
      <c r="E108" s="118">
        <f>$I$64/E106</f>
        <v>45.35148727272725</v>
      </c>
      <c r="F108" s="64"/>
      <c r="G108" s="118">
        <f>$I$64/G106</f>
        <v>41.228624793388406</v>
      </c>
      <c r="H108" s="64"/>
      <c r="I108" s="64"/>
      <c r="J108" s="93"/>
    </row>
    <row r="109" spans="1:10" ht="3" customHeight="1">
      <c r="A109" s="64"/>
      <c r="B109" s="64"/>
      <c r="C109" s="64"/>
      <c r="D109" s="64"/>
      <c r="E109" s="65"/>
      <c r="F109" s="64"/>
      <c r="G109" s="64"/>
      <c r="H109" s="64"/>
      <c r="I109" s="64"/>
      <c r="J109" s="93"/>
    </row>
    <row r="110" spans="1:10" ht="12">
      <c r="A110" s="64" t="s">
        <v>58</v>
      </c>
      <c r="B110" s="64"/>
      <c r="C110" s="118">
        <f>$I$78/C106</f>
        <v>30.703703703703702</v>
      </c>
      <c r="D110" s="64"/>
      <c r="E110" s="118">
        <f>$I$78/E106</f>
        <v>27.633333333333333</v>
      </c>
      <c r="F110" s="64"/>
      <c r="G110" s="118">
        <f>$I$78/G106</f>
        <v>25.121212121212118</v>
      </c>
      <c r="H110" s="64"/>
      <c r="I110" s="64"/>
      <c r="J110" s="93"/>
    </row>
    <row r="111" spans="1:10" ht="3.75" customHeight="1">
      <c r="A111" s="64"/>
      <c r="B111" s="64"/>
      <c r="C111" s="64"/>
      <c r="D111" s="64"/>
      <c r="E111" s="65"/>
      <c r="F111" s="64"/>
      <c r="G111" s="64"/>
      <c r="H111" s="64"/>
      <c r="I111" s="64"/>
      <c r="J111" s="93"/>
    </row>
    <row r="112" spans="1:10" ht="12">
      <c r="A112" s="64" t="s">
        <v>59</v>
      </c>
      <c r="B112" s="64"/>
      <c r="C112" s="118">
        <f>$I$81/C106</f>
        <v>81.09424511784509</v>
      </c>
      <c r="D112" s="64"/>
      <c r="E112" s="118">
        <f>$I$81/E106</f>
        <v>72.98482060606058</v>
      </c>
      <c r="F112" s="64"/>
      <c r="G112" s="118">
        <f>$I$81/G106</f>
        <v>66.34983691460053</v>
      </c>
      <c r="H112" s="64"/>
      <c r="I112" s="64"/>
      <c r="J112" s="93"/>
    </row>
    <row r="113" spans="1:10" ht="5.25" customHeight="1">
      <c r="A113" s="64"/>
      <c r="B113" s="64"/>
      <c r="C113" s="64"/>
      <c r="D113" s="64"/>
      <c r="E113" s="65"/>
      <c r="F113" s="64"/>
      <c r="G113" s="64"/>
      <c r="H113" s="64"/>
      <c r="I113" s="64"/>
      <c r="J113" s="93"/>
    </row>
    <row r="114" spans="1:10" ht="12">
      <c r="A114" s="59"/>
      <c r="B114" s="59"/>
      <c r="C114" s="59"/>
      <c r="D114" s="59"/>
      <c r="E114" s="60"/>
      <c r="F114" s="59"/>
      <c r="G114" s="59"/>
      <c r="H114" s="59"/>
      <c r="I114" s="59"/>
      <c r="J114" s="93"/>
    </row>
    <row r="115" spans="1:10" ht="12">
      <c r="A115" s="64"/>
      <c r="B115" s="64"/>
      <c r="C115" s="64"/>
      <c r="D115" s="64"/>
      <c r="E115" s="65"/>
      <c r="F115" s="64"/>
      <c r="G115" s="64"/>
      <c r="H115" s="64"/>
      <c r="I115" s="64"/>
      <c r="J115" s="93"/>
    </row>
    <row r="116" spans="1:10" ht="12">
      <c r="A116" s="119" t="s">
        <v>62</v>
      </c>
      <c r="B116" s="64"/>
      <c r="C116" s="237"/>
      <c r="D116" s="237"/>
      <c r="E116" s="237"/>
      <c r="F116" s="64"/>
      <c r="G116" s="64"/>
      <c r="H116" s="64"/>
      <c r="I116" s="64"/>
      <c r="J116" s="93"/>
    </row>
    <row r="117" spans="1:10" ht="12">
      <c r="A117" s="119" t="s">
        <v>60</v>
      </c>
      <c r="B117" s="64"/>
      <c r="C117" s="237"/>
      <c r="D117" s="237"/>
      <c r="E117" s="237"/>
      <c r="F117" s="237"/>
      <c r="G117" s="237"/>
      <c r="H117" s="64"/>
      <c r="I117" s="64"/>
      <c r="J117" s="93"/>
    </row>
    <row r="118" spans="1:10" ht="12">
      <c r="A118" s="119" t="s">
        <v>61</v>
      </c>
      <c r="B118" s="64"/>
      <c r="C118" s="237"/>
      <c r="D118" s="237"/>
      <c r="E118" s="237"/>
      <c r="F118" s="237"/>
      <c r="G118" s="237"/>
      <c r="H118" s="64"/>
      <c r="I118" s="64"/>
      <c r="J118" s="93"/>
    </row>
    <row r="119" spans="1:10" ht="12">
      <c r="A119" s="64"/>
      <c r="B119" s="64"/>
      <c r="C119" s="237"/>
      <c r="D119" s="237"/>
      <c r="E119" s="237"/>
      <c r="F119" s="237"/>
      <c r="G119" s="237"/>
      <c r="H119" s="64"/>
      <c r="I119" s="64"/>
      <c r="J119" s="93"/>
    </row>
    <row r="120" spans="1:10" ht="12">
      <c r="A120" s="64"/>
      <c r="B120" s="64"/>
      <c r="C120" s="237"/>
      <c r="D120" s="237"/>
      <c r="E120" s="237"/>
      <c r="F120" s="237"/>
      <c r="G120" s="237"/>
      <c r="H120" s="64"/>
      <c r="I120" s="64"/>
      <c r="J120" s="93"/>
    </row>
    <row r="121" spans="1:10" ht="12">
      <c r="A121" s="64"/>
      <c r="B121" s="64"/>
      <c r="C121" s="64"/>
      <c r="D121" s="64"/>
      <c r="E121" s="65"/>
      <c r="F121" s="64"/>
      <c r="G121" s="64"/>
      <c r="H121" s="64"/>
      <c r="I121" s="64"/>
      <c r="J121" s="93"/>
    </row>
  </sheetData>
  <sheetProtection/>
  <mergeCells count="23">
    <mergeCell ref="C117:G117"/>
    <mergeCell ref="C118:G118"/>
    <mergeCell ref="C119:G119"/>
    <mergeCell ref="C120:G120"/>
    <mergeCell ref="A75:C75"/>
    <mergeCell ref="D75:H75"/>
    <mergeCell ref="A76:C76"/>
    <mergeCell ref="D76:H76"/>
    <mergeCell ref="A87:I91"/>
    <mergeCell ref="C116:E116"/>
    <mergeCell ref="A72:C72"/>
    <mergeCell ref="D72:H72"/>
    <mergeCell ref="A73:C73"/>
    <mergeCell ref="D73:H73"/>
    <mergeCell ref="A74:C74"/>
    <mergeCell ref="D74:H74"/>
    <mergeCell ref="A1:J1"/>
    <mergeCell ref="L8:Q8"/>
    <mergeCell ref="C62:G62"/>
    <mergeCell ref="A70:C70"/>
    <mergeCell ref="D70:H70"/>
    <mergeCell ref="A71:C71"/>
    <mergeCell ref="D71:H71"/>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68" max="255" man="1"/>
  </rowBreaks>
</worksheet>
</file>

<file path=xl/worksheets/sheet14.xml><?xml version="1.0" encoding="utf-8"?>
<worksheet xmlns="http://schemas.openxmlformats.org/spreadsheetml/2006/main" xmlns:r="http://schemas.openxmlformats.org/officeDocument/2006/relationships">
  <dimension ref="A1:Q120"/>
  <sheetViews>
    <sheetView zoomScalePageLayoutView="0" workbookViewId="0" topLeftCell="A1">
      <selection activeCell="A2" sqref="A2"/>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421875" style="36" customWidth="1"/>
    <col min="12" max="12" width="10.140625" style="36" bestFit="1" customWidth="1"/>
    <col min="13" max="16384" width="9.140625" style="36" customWidth="1"/>
  </cols>
  <sheetData>
    <row r="1" spans="1:12" ht="33.75" customHeight="1">
      <c r="A1" s="230" t="s">
        <v>417</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123" t="s">
        <v>226</v>
      </c>
      <c r="B7" s="67"/>
      <c r="C7" s="66">
        <v>110</v>
      </c>
      <c r="D7" s="67"/>
      <c r="E7" s="122" t="s">
        <v>76</v>
      </c>
      <c r="F7" s="67"/>
      <c r="G7" s="69">
        <v>6.75</v>
      </c>
      <c r="H7" s="67"/>
      <c r="I7" s="70">
        <f>C7*G7</f>
        <v>742.5</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40.5</v>
      </c>
      <c r="J11" s="56"/>
    </row>
    <row r="12" spans="1:10" ht="12">
      <c r="A12" s="79" t="s">
        <v>77</v>
      </c>
      <c r="B12" s="64"/>
      <c r="C12" s="79">
        <v>150</v>
      </c>
      <c r="D12" s="64"/>
      <c r="E12" s="80" t="s">
        <v>38</v>
      </c>
      <c r="F12" s="64"/>
      <c r="G12" s="91">
        <v>0.27</v>
      </c>
      <c r="H12" s="64"/>
      <c r="I12" s="75">
        <f>C12*G12</f>
        <v>40.5</v>
      </c>
      <c r="J12" s="56"/>
    </row>
    <row r="13" spans="1:10" ht="12">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115.60000000000001</v>
      </c>
      <c r="J15" s="56"/>
    </row>
    <row r="16" spans="1:10" ht="12">
      <c r="A16" s="79" t="s">
        <v>74</v>
      </c>
      <c r="B16" s="64"/>
      <c r="C16" s="79">
        <v>135</v>
      </c>
      <c r="D16" s="64"/>
      <c r="E16" s="80" t="s">
        <v>38</v>
      </c>
      <c r="F16" s="64"/>
      <c r="G16" s="91">
        <v>0.66</v>
      </c>
      <c r="H16" s="64"/>
      <c r="I16" s="75">
        <f aca="true" t="shared" si="0" ref="I16:I21">C16*G16</f>
        <v>89.10000000000001</v>
      </c>
      <c r="J16" s="56"/>
    </row>
    <row r="17" spans="1:10" ht="12">
      <c r="A17" s="79" t="s">
        <v>72</v>
      </c>
      <c r="B17" s="64"/>
      <c r="C17" s="79">
        <v>50</v>
      </c>
      <c r="D17" s="64"/>
      <c r="E17" s="80" t="s">
        <v>38</v>
      </c>
      <c r="F17" s="64"/>
      <c r="G17" s="91">
        <v>0.53</v>
      </c>
      <c r="H17" s="64"/>
      <c r="I17" s="75">
        <f t="shared" si="0"/>
        <v>26.5</v>
      </c>
      <c r="J17" s="56"/>
    </row>
    <row r="18" spans="1:10" ht="12">
      <c r="A18" s="78"/>
      <c r="B18" s="139"/>
      <c r="C18" s="78"/>
      <c r="D18" s="139"/>
      <c r="E18" s="89"/>
      <c r="F18" s="90"/>
      <c r="G18" s="81"/>
      <c r="H18" s="64"/>
      <c r="I18" s="85">
        <f t="shared" si="0"/>
        <v>0</v>
      </c>
      <c r="J18" s="56"/>
    </row>
    <row r="19" spans="1:10" ht="12">
      <c r="A19" s="181"/>
      <c r="B19" s="90"/>
      <c r="C19" s="181"/>
      <c r="D19" s="90"/>
      <c r="E19" s="124"/>
      <c r="F19" s="90"/>
      <c r="G19" s="81"/>
      <c r="H19" s="64"/>
      <c r="I19" s="85">
        <f t="shared" si="0"/>
        <v>0</v>
      </c>
      <c r="J19" s="56"/>
    </row>
    <row r="20" spans="1:10" ht="12">
      <c r="A20" s="181"/>
      <c r="B20" s="90"/>
      <c r="C20" s="181"/>
      <c r="D20" s="90"/>
      <c r="E20" s="124"/>
      <c r="F20" s="90"/>
      <c r="G20" s="81"/>
      <c r="H20" s="64"/>
      <c r="I20" s="85">
        <f t="shared" si="0"/>
        <v>0</v>
      </c>
      <c r="J20" s="56"/>
    </row>
    <row r="21" spans="2:10" ht="12">
      <c r="B21" s="64"/>
      <c r="C21" s="79"/>
      <c r="D21" s="64"/>
      <c r="E21" s="80"/>
      <c r="F21" s="64"/>
      <c r="G21" s="82"/>
      <c r="H21" s="64"/>
      <c r="I21" s="85">
        <f t="shared" si="0"/>
        <v>0</v>
      </c>
      <c r="J21" s="56"/>
    </row>
    <row r="22" spans="1:10" ht="12">
      <c r="A22" s="64"/>
      <c r="B22" s="64"/>
      <c r="C22" s="64"/>
      <c r="D22" s="64"/>
      <c r="E22" s="65"/>
      <c r="F22" s="64"/>
      <c r="G22" s="74"/>
      <c r="H22" s="64"/>
      <c r="I22" s="85"/>
      <c r="J22" s="56"/>
    </row>
    <row r="23" spans="1:10" ht="12.75">
      <c r="A23" s="76" t="s">
        <v>17</v>
      </c>
      <c r="B23" s="64"/>
      <c r="C23" s="64"/>
      <c r="D23" s="64"/>
      <c r="E23" s="65"/>
      <c r="F23" s="64"/>
      <c r="G23" s="74"/>
      <c r="H23" s="64"/>
      <c r="I23" s="86">
        <f>SUM(I24:I27)</f>
        <v>24.509999999999998</v>
      </c>
      <c r="J23" s="56"/>
    </row>
    <row r="24" spans="1:13" ht="12">
      <c r="A24" s="78" t="s">
        <v>236</v>
      </c>
      <c r="B24" s="64"/>
      <c r="C24" s="79">
        <v>0.5</v>
      </c>
      <c r="D24" s="64"/>
      <c r="E24" s="89" t="s">
        <v>207</v>
      </c>
      <c r="F24" s="64"/>
      <c r="G24" s="91">
        <f>StaraneUltra</f>
        <v>32.4</v>
      </c>
      <c r="H24" s="64"/>
      <c r="I24" s="85">
        <f>C24*G24</f>
        <v>16.2</v>
      </c>
      <c r="J24" s="56"/>
      <c r="K24" s="121"/>
      <c r="L24" s="121"/>
      <c r="M24" s="121"/>
    </row>
    <row r="25" spans="1:13" ht="12">
      <c r="A25" s="78" t="s">
        <v>252</v>
      </c>
      <c r="B25" s="64"/>
      <c r="C25" s="79">
        <v>0.6</v>
      </c>
      <c r="D25" s="64"/>
      <c r="E25" s="89" t="s">
        <v>46</v>
      </c>
      <c r="F25" s="64"/>
      <c r="G25" s="91">
        <f>AffinityB</f>
        <v>12.6</v>
      </c>
      <c r="H25" s="64"/>
      <c r="I25" s="85">
        <f>C25*G25</f>
        <v>7.56</v>
      </c>
      <c r="J25" s="56"/>
      <c r="K25" s="121"/>
      <c r="L25" s="121"/>
      <c r="M25" s="121"/>
    </row>
    <row r="26" spans="1:10" ht="12">
      <c r="A26" s="78" t="s">
        <v>253</v>
      </c>
      <c r="B26" s="139"/>
      <c r="C26" s="78">
        <v>1</v>
      </c>
      <c r="D26" s="139"/>
      <c r="E26" s="89" t="s">
        <v>39</v>
      </c>
      <c r="F26" s="90"/>
      <c r="G26" s="81">
        <f>Nonionic</f>
        <v>0.75</v>
      </c>
      <c r="H26" s="64"/>
      <c r="I26" s="85">
        <f>C26*G26</f>
        <v>0.75</v>
      </c>
      <c r="J26" s="56"/>
    </row>
    <row r="27" spans="1:10" ht="12">
      <c r="A27" s="78"/>
      <c r="B27" s="64"/>
      <c r="C27" s="79"/>
      <c r="D27" s="64"/>
      <c r="E27" s="89"/>
      <c r="F27" s="64"/>
      <c r="G27" s="81"/>
      <c r="H27" s="64"/>
      <c r="I27" s="85"/>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91.5</v>
      </c>
      <c r="J29" s="56"/>
    </row>
    <row r="30" spans="1:10" ht="12">
      <c r="A30" s="79" t="s">
        <v>18</v>
      </c>
      <c r="B30" s="64"/>
      <c r="C30" s="79">
        <v>2</v>
      </c>
      <c r="D30" s="64"/>
      <c r="E30" s="80" t="s">
        <v>39</v>
      </c>
      <c r="F30" s="64"/>
      <c r="G30" s="91">
        <v>8</v>
      </c>
      <c r="H30" s="64"/>
      <c r="I30" s="85">
        <f>C30*G30</f>
        <v>16</v>
      </c>
      <c r="J30" s="56"/>
    </row>
    <row r="31" spans="1:10" ht="12">
      <c r="A31" s="88" t="s">
        <v>47</v>
      </c>
      <c r="B31" s="64"/>
      <c r="C31" s="79">
        <v>1</v>
      </c>
      <c r="D31" s="64"/>
      <c r="E31" s="80" t="s">
        <v>39</v>
      </c>
      <c r="F31" s="64"/>
      <c r="G31" s="81">
        <v>48</v>
      </c>
      <c r="H31" s="64"/>
      <c r="I31" s="85">
        <f>C31*G31</f>
        <v>48</v>
      </c>
      <c r="J31" s="56"/>
    </row>
    <row r="32" spans="1:10" ht="12">
      <c r="A32" s="88" t="s">
        <v>48</v>
      </c>
      <c r="B32" s="64"/>
      <c r="C32" s="79">
        <v>110</v>
      </c>
      <c r="D32" s="64"/>
      <c r="E32" s="80" t="s">
        <v>76</v>
      </c>
      <c r="F32" s="64"/>
      <c r="G32" s="81">
        <v>0.25</v>
      </c>
      <c r="H32" s="64"/>
      <c r="I32" s="85">
        <f>C32*G32</f>
        <v>27.5</v>
      </c>
      <c r="J32" s="56"/>
    </row>
    <row r="33" spans="1:10" ht="12">
      <c r="A33" s="79"/>
      <c r="B33" s="64"/>
      <c r="C33" s="79"/>
      <c r="D33" s="64"/>
      <c r="E33" s="80"/>
      <c r="F33" s="64"/>
      <c r="G33" s="84"/>
      <c r="H33" s="64"/>
      <c r="I33" s="85">
        <f>C33*G33</f>
        <v>0</v>
      </c>
      <c r="J33" s="56"/>
    </row>
    <row r="34" spans="1:10" ht="12">
      <c r="A34" s="79"/>
      <c r="B34" s="64"/>
      <c r="C34" s="79"/>
      <c r="D34" s="64"/>
      <c r="E34" s="80"/>
      <c r="F34" s="64"/>
      <c r="G34" s="84"/>
      <c r="H34" s="64"/>
      <c r="I34" s="85">
        <f>C34*G34</f>
        <v>0</v>
      </c>
      <c r="J34" s="56"/>
    </row>
    <row r="35" spans="1:10" ht="12">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
      <c r="A37" s="79" t="s">
        <v>21</v>
      </c>
      <c r="B37" s="64"/>
      <c r="C37" s="79">
        <v>1</v>
      </c>
      <c r="D37" s="64"/>
      <c r="E37" s="80" t="s">
        <v>39</v>
      </c>
      <c r="F37" s="64"/>
      <c r="G37" s="91">
        <v>48.85</v>
      </c>
      <c r="H37" s="64"/>
      <c r="I37" s="85">
        <f>C37*G37</f>
        <v>48.85</v>
      </c>
      <c r="J37" s="56"/>
    </row>
    <row r="38" spans="1:10" ht="12">
      <c r="A38" s="79" t="s">
        <v>84</v>
      </c>
      <c r="B38" s="64"/>
      <c r="C38" s="79">
        <v>1</v>
      </c>
      <c r="D38" s="64"/>
      <c r="E38" s="80" t="s">
        <v>39</v>
      </c>
      <c r="F38" s="64"/>
      <c r="G38" s="91">
        <f>IrrigationR</f>
        <v>2.75</v>
      </c>
      <c r="H38" s="64"/>
      <c r="I38" s="85">
        <f>C38*G38</f>
        <v>2.75</v>
      </c>
      <c r="J38" s="56"/>
    </row>
    <row r="39" spans="1:10" ht="12">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44.839</v>
      </c>
      <c r="J41" s="56"/>
    </row>
    <row r="42" spans="1:10" ht="12">
      <c r="A42" s="78" t="s">
        <v>150</v>
      </c>
      <c r="B42" s="64"/>
      <c r="C42" s="79">
        <v>1.27</v>
      </c>
      <c r="D42" s="64"/>
      <c r="E42" s="89" t="s">
        <v>91</v>
      </c>
      <c r="F42" s="64"/>
      <c r="G42" s="91">
        <f>FuelGas</f>
        <v>3.7</v>
      </c>
      <c r="H42" s="64"/>
      <c r="I42" s="85">
        <f>C42*G42</f>
        <v>4.699000000000001</v>
      </c>
      <c r="J42" s="56"/>
    </row>
    <row r="43" spans="1:10" ht="12">
      <c r="A43" s="78" t="s">
        <v>151</v>
      </c>
      <c r="B43" s="64"/>
      <c r="C43" s="79">
        <v>7.02</v>
      </c>
      <c r="D43" s="64"/>
      <c r="E43" s="89" t="s">
        <v>91</v>
      </c>
      <c r="F43" s="64"/>
      <c r="G43" s="91">
        <f>FuelD</f>
        <v>3.6</v>
      </c>
      <c r="H43" s="64"/>
      <c r="I43" s="85">
        <f>C43*G43</f>
        <v>25.272</v>
      </c>
      <c r="J43" s="56"/>
    </row>
    <row r="44" spans="1:10" ht="12">
      <c r="A44" s="78" t="s">
        <v>284</v>
      </c>
      <c r="B44" s="64"/>
      <c r="C44" s="79">
        <v>0.08</v>
      </c>
      <c r="D44" s="64"/>
      <c r="E44" s="89" t="s">
        <v>91</v>
      </c>
      <c r="F44" s="64"/>
      <c r="G44" s="91">
        <v>4.1</v>
      </c>
      <c r="H44" s="64"/>
      <c r="I44" s="85">
        <f>C44*G44</f>
        <v>0.32799999999999996</v>
      </c>
      <c r="J44" s="56"/>
    </row>
    <row r="45" spans="1:10" ht="12">
      <c r="A45" s="83" t="s">
        <v>152</v>
      </c>
      <c r="B45" s="64"/>
      <c r="C45" s="79">
        <v>1</v>
      </c>
      <c r="D45" s="64"/>
      <c r="E45" s="89" t="s">
        <v>39</v>
      </c>
      <c r="F45" s="64"/>
      <c r="G45" s="91">
        <v>4.54</v>
      </c>
      <c r="H45" s="64"/>
      <c r="I45" s="85">
        <f>C45*G45</f>
        <v>4.54</v>
      </c>
      <c r="J45" s="56"/>
    </row>
    <row r="46" spans="1:10" ht="12">
      <c r="A46" s="83" t="s">
        <v>26</v>
      </c>
      <c r="B46" s="64"/>
      <c r="C46" s="79">
        <v>1</v>
      </c>
      <c r="D46" s="64"/>
      <c r="E46" s="89" t="s">
        <v>39</v>
      </c>
      <c r="F46" s="64"/>
      <c r="G46" s="91">
        <v>10</v>
      </c>
      <c r="H46" s="64"/>
      <c r="I46" s="85">
        <f>C46*G46</f>
        <v>10</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65.27300000000001</v>
      </c>
      <c r="J48" s="56"/>
    </row>
    <row r="49" spans="1:10" ht="12">
      <c r="A49" s="78" t="s">
        <v>156</v>
      </c>
      <c r="B49" s="64"/>
      <c r="C49" s="79">
        <v>1.76</v>
      </c>
      <c r="D49" s="64"/>
      <c r="E49" s="89" t="s">
        <v>42</v>
      </c>
      <c r="F49" s="64"/>
      <c r="G49" s="91">
        <f>Labor</f>
        <v>17.8</v>
      </c>
      <c r="H49" s="64"/>
      <c r="I49" s="85">
        <f>C49*G49</f>
        <v>31.328000000000003</v>
      </c>
      <c r="J49" s="56"/>
    </row>
    <row r="50" spans="1:10" ht="12">
      <c r="A50" s="78" t="s">
        <v>158</v>
      </c>
      <c r="B50" s="64"/>
      <c r="C50" s="79">
        <v>2.45</v>
      </c>
      <c r="D50" s="64"/>
      <c r="E50" s="80" t="s">
        <v>42</v>
      </c>
      <c r="F50" s="64"/>
      <c r="G50" s="91">
        <f>IrriL</f>
        <v>12.6</v>
      </c>
      <c r="H50" s="64"/>
      <c r="I50" s="85">
        <f>C50*G50</f>
        <v>30.87</v>
      </c>
      <c r="J50" s="56"/>
    </row>
    <row r="51" spans="1:10" ht="12">
      <c r="A51" s="78" t="s">
        <v>153</v>
      </c>
      <c r="B51" s="64"/>
      <c r="C51" s="79">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
      <c r="A54" s="78"/>
      <c r="B54" s="64"/>
      <c r="C54" s="79"/>
      <c r="D54" s="64"/>
      <c r="E54" s="89"/>
      <c r="F54" s="64"/>
      <c r="G54" s="92"/>
      <c r="H54" s="64"/>
      <c r="I54" s="85">
        <f>C54*G54</f>
        <v>0</v>
      </c>
      <c r="J54" s="56"/>
    </row>
    <row r="55" spans="1:10" ht="12">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12.25</v>
      </c>
      <c r="J57" s="56"/>
    </row>
    <row r="58" spans="1:10" ht="12">
      <c r="A58" s="79" t="s">
        <v>24</v>
      </c>
      <c r="B58" s="64"/>
      <c r="C58" s="79">
        <v>1</v>
      </c>
      <c r="D58" s="64"/>
      <c r="E58" s="80" t="s">
        <v>39</v>
      </c>
      <c r="F58" s="64"/>
      <c r="G58" s="81">
        <v>12.25</v>
      </c>
      <c r="H58" s="64"/>
      <c r="I58" s="85">
        <f>C58*G58</f>
        <v>12.25</v>
      </c>
      <c r="J58" s="56"/>
    </row>
    <row r="59" spans="1:10" ht="12">
      <c r="A59" s="79"/>
      <c r="B59" s="64"/>
      <c r="C59" s="79"/>
      <c r="D59" s="64"/>
      <c r="E59" s="80"/>
      <c r="F59" s="64"/>
      <c r="G59" s="84"/>
      <c r="H59" s="64"/>
      <c r="I59" s="85">
        <f>C59*G59</f>
        <v>0</v>
      </c>
      <c r="J59" s="56"/>
    </row>
    <row r="60" spans="1:10" ht="4.5" customHeight="1">
      <c r="A60" s="95"/>
      <c r="B60" s="93"/>
      <c r="C60" s="95"/>
      <c r="D60" s="93"/>
      <c r="E60" s="96"/>
      <c r="F60" s="93"/>
      <c r="G60" s="97"/>
      <c r="H60" s="64"/>
      <c r="I60" s="101"/>
      <c r="J60" s="56"/>
    </row>
    <row r="61" spans="1:10" ht="12">
      <c r="A61" s="102" t="s">
        <v>388</v>
      </c>
      <c r="B61" s="235"/>
      <c r="C61" s="235"/>
      <c r="D61" s="235"/>
      <c r="E61" s="235"/>
      <c r="F61" s="235"/>
      <c r="G61" s="235"/>
      <c r="H61" s="64"/>
      <c r="I61" s="91">
        <v>10.43</v>
      </c>
      <c r="J61" s="56"/>
    </row>
    <row r="62" spans="1:10" ht="5.25" customHeight="1">
      <c r="A62" s="64"/>
      <c r="B62" s="64"/>
      <c r="C62" s="64"/>
      <c r="D62" s="64"/>
      <c r="E62" s="65"/>
      <c r="F62" s="64"/>
      <c r="G62" s="64"/>
      <c r="H62" s="64"/>
      <c r="I62" s="85"/>
      <c r="J62" s="56"/>
    </row>
    <row r="63" spans="1:12" ht="12">
      <c r="A63" s="64" t="s">
        <v>27</v>
      </c>
      <c r="B63" s="64"/>
      <c r="C63" s="64"/>
      <c r="D63" s="64"/>
      <c r="E63" s="65"/>
      <c r="F63" s="64"/>
      <c r="G63" s="64"/>
      <c r="H63" s="64"/>
      <c r="I63" s="85">
        <f>SUM(I11:I61)-(I11+I15+I23+I29+I36+I41+I48+I53+I57)</f>
        <v>456.5019999999999</v>
      </c>
      <c r="J63" s="56"/>
      <c r="L63" s="82"/>
    </row>
    <row r="64" spans="1:10" ht="12">
      <c r="A64" s="64" t="s">
        <v>28</v>
      </c>
      <c r="B64" s="64"/>
      <c r="C64" s="64"/>
      <c r="D64" s="64"/>
      <c r="E64" s="65"/>
      <c r="F64" s="64"/>
      <c r="G64" s="64"/>
      <c r="H64" s="64"/>
      <c r="I64" s="85">
        <f>I63/C7</f>
        <v>4.150018181818181</v>
      </c>
      <c r="J64" s="56"/>
    </row>
    <row r="65" spans="1:10" ht="5.25" customHeight="1">
      <c r="A65" s="64"/>
      <c r="B65" s="64"/>
      <c r="C65" s="64"/>
      <c r="D65" s="64"/>
      <c r="E65" s="65"/>
      <c r="F65" s="64"/>
      <c r="G65" s="64"/>
      <c r="H65" s="64"/>
      <c r="I65" s="85"/>
      <c r="J65" s="56"/>
    </row>
    <row r="66" spans="1:10" ht="12">
      <c r="A66" s="59" t="s">
        <v>29</v>
      </c>
      <c r="B66" s="59"/>
      <c r="C66" s="59"/>
      <c r="D66" s="59"/>
      <c r="E66" s="60"/>
      <c r="F66" s="59"/>
      <c r="G66" s="59"/>
      <c r="H66" s="59"/>
      <c r="I66" s="103">
        <f>I7-I63</f>
        <v>285.9980000000001</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
      <c r="A69" s="234" t="s">
        <v>63</v>
      </c>
      <c r="B69" s="234"/>
      <c r="C69" s="234"/>
      <c r="D69" s="235"/>
      <c r="E69" s="235"/>
      <c r="F69" s="235"/>
      <c r="G69" s="235"/>
      <c r="H69" s="235"/>
      <c r="I69" s="91">
        <v>1.01</v>
      </c>
      <c r="J69" s="56"/>
    </row>
    <row r="70" spans="1:10" ht="12">
      <c r="A70" s="236" t="s">
        <v>352</v>
      </c>
      <c r="B70" s="236"/>
      <c r="C70" s="236"/>
      <c r="D70" s="235"/>
      <c r="E70" s="235"/>
      <c r="F70" s="235"/>
      <c r="G70" s="235"/>
      <c r="H70" s="235"/>
      <c r="I70" s="91">
        <v>35.94</v>
      </c>
      <c r="J70" s="56"/>
    </row>
    <row r="71" spans="1:10" ht="12">
      <c r="A71" s="237" t="s">
        <v>44</v>
      </c>
      <c r="B71" s="237"/>
      <c r="C71" s="237"/>
      <c r="D71" s="235"/>
      <c r="E71" s="235"/>
      <c r="F71" s="235"/>
      <c r="G71" s="235"/>
      <c r="H71" s="235"/>
      <c r="I71" s="91">
        <v>250</v>
      </c>
      <c r="J71" s="56"/>
    </row>
    <row r="72" spans="1:10" ht="12">
      <c r="A72" s="237" t="s">
        <v>31</v>
      </c>
      <c r="B72" s="237"/>
      <c r="C72" s="237"/>
      <c r="D72" s="64"/>
      <c r="E72" s="65"/>
      <c r="F72" s="64"/>
      <c r="G72" s="64"/>
      <c r="H72" s="64"/>
      <c r="I72" s="91">
        <v>11</v>
      </c>
      <c r="J72" s="56"/>
    </row>
    <row r="73" spans="1:10" ht="12">
      <c r="A73" s="237" t="s">
        <v>32</v>
      </c>
      <c r="B73" s="237"/>
      <c r="C73" s="237"/>
      <c r="D73" s="235"/>
      <c r="E73" s="235"/>
      <c r="F73" s="235"/>
      <c r="G73" s="235"/>
      <c r="H73" s="235"/>
      <c r="I73" s="91">
        <v>40</v>
      </c>
      <c r="J73" s="56"/>
    </row>
    <row r="74" spans="1:10" ht="12">
      <c r="A74" s="237"/>
      <c r="B74" s="237"/>
      <c r="C74" s="237"/>
      <c r="D74" s="235"/>
      <c r="E74" s="235"/>
      <c r="F74" s="235"/>
      <c r="G74" s="235"/>
      <c r="H74" s="235"/>
      <c r="I74" s="88"/>
      <c r="J74" s="56"/>
    </row>
    <row r="75" spans="1:10" ht="12">
      <c r="A75" s="237"/>
      <c r="B75" s="237"/>
      <c r="C75" s="237"/>
      <c r="D75" s="235"/>
      <c r="E75" s="235"/>
      <c r="F75" s="235"/>
      <c r="G75" s="235"/>
      <c r="H75" s="235"/>
      <c r="I75" s="104"/>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337.95</v>
      </c>
      <c r="J77" s="56"/>
    </row>
    <row r="78" spans="1:10" ht="12.75">
      <c r="A78" s="76" t="s">
        <v>34</v>
      </c>
      <c r="B78" s="64"/>
      <c r="C78" s="64"/>
      <c r="D78" s="64"/>
      <c r="E78" s="65"/>
      <c r="F78" s="64"/>
      <c r="G78" s="64"/>
      <c r="H78" s="64"/>
      <c r="I78" s="85">
        <f>I77/C7</f>
        <v>3.0722727272727273</v>
      </c>
      <c r="J78" s="56"/>
    </row>
    <row r="79" spans="1:10" ht="12">
      <c r="A79" s="64"/>
      <c r="B79" s="64"/>
      <c r="C79" s="64"/>
      <c r="D79" s="64"/>
      <c r="E79" s="65"/>
      <c r="F79" s="64"/>
      <c r="G79" s="64"/>
      <c r="H79" s="64"/>
      <c r="I79" s="85"/>
      <c r="J79" s="56"/>
    </row>
    <row r="80" spans="1:12" ht="12.75">
      <c r="A80" s="76" t="s">
        <v>35</v>
      </c>
      <c r="B80" s="64"/>
      <c r="C80" s="64"/>
      <c r="D80" s="64"/>
      <c r="E80" s="65"/>
      <c r="F80" s="64"/>
      <c r="G80" s="64"/>
      <c r="H80" s="64"/>
      <c r="I80" s="85">
        <f>I63+I77</f>
        <v>794.4519999999999</v>
      </c>
      <c r="J80" s="56"/>
      <c r="L80" s="82"/>
    </row>
    <row r="81" spans="1:10" ht="12.75">
      <c r="A81" s="76" t="s">
        <v>36</v>
      </c>
      <c r="B81" s="64"/>
      <c r="C81" s="64"/>
      <c r="D81" s="64"/>
      <c r="E81" s="65"/>
      <c r="F81" s="64"/>
      <c r="G81" s="64"/>
      <c r="H81" s="64"/>
      <c r="I81" s="85">
        <f>I80/C7</f>
        <v>7.222290909090908</v>
      </c>
      <c r="J81" s="56"/>
    </row>
    <row r="82" spans="1:10" ht="12">
      <c r="A82" s="64"/>
      <c r="B82" s="64"/>
      <c r="C82" s="64"/>
      <c r="D82" s="64"/>
      <c r="E82" s="65"/>
      <c r="F82" s="64"/>
      <c r="G82" s="64"/>
      <c r="H82" s="64"/>
      <c r="I82" s="85"/>
      <c r="J82" s="56"/>
    </row>
    <row r="83" spans="1:10" ht="12">
      <c r="A83" s="64" t="s">
        <v>37</v>
      </c>
      <c r="B83" s="64"/>
      <c r="C83" s="64"/>
      <c r="D83" s="64"/>
      <c r="E83" s="65"/>
      <c r="F83" s="64"/>
      <c r="G83" s="64"/>
      <c r="H83" s="64"/>
      <c r="I83" s="85">
        <f>I7-I80</f>
        <v>-51.951999999999884</v>
      </c>
      <c r="J83" s="56"/>
    </row>
    <row r="84" spans="1:10" ht="12">
      <c r="A84" s="59"/>
      <c r="B84" s="59"/>
      <c r="C84" s="59"/>
      <c r="D84" s="59"/>
      <c r="E84" s="60"/>
      <c r="F84" s="59"/>
      <c r="G84" s="59"/>
      <c r="H84" s="59"/>
      <c r="I84" s="61"/>
      <c r="J84" s="62"/>
    </row>
    <row r="85" spans="1:10" ht="12">
      <c r="A85" s="67" t="s">
        <v>87</v>
      </c>
      <c r="B85" s="67"/>
      <c r="C85" s="67"/>
      <c r="D85" s="67"/>
      <c r="E85" s="72"/>
      <c r="F85" s="67"/>
      <c r="G85" s="67"/>
      <c r="H85" s="67"/>
      <c r="I85" s="67"/>
      <c r="J85" s="105"/>
    </row>
    <row r="86" spans="1:10" ht="12">
      <c r="A86" s="238" t="s">
        <v>45</v>
      </c>
      <c r="B86" s="238"/>
      <c r="C86" s="238"/>
      <c r="D86" s="238"/>
      <c r="E86" s="238"/>
      <c r="F86" s="238"/>
      <c r="G86" s="238"/>
      <c r="H86" s="238"/>
      <c r="I86" s="238"/>
      <c r="J86" s="93"/>
    </row>
    <row r="87" spans="1:10" ht="12">
      <c r="A87" s="238"/>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238"/>
      <c r="B90" s="238"/>
      <c r="C90" s="238"/>
      <c r="D90" s="238"/>
      <c r="E90" s="238"/>
      <c r="F90" s="238"/>
      <c r="G90" s="238"/>
      <c r="H90" s="238"/>
      <c r="I90" s="238"/>
      <c r="J90" s="93"/>
    </row>
    <row r="91" spans="1:10" ht="12">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
      <c r="A93" s="64"/>
      <c r="B93" s="64"/>
      <c r="C93" s="108">
        <v>0.1</v>
      </c>
      <c r="D93" s="64"/>
      <c r="E93" s="65"/>
      <c r="F93" s="64"/>
      <c r="G93" s="108">
        <v>0.1</v>
      </c>
      <c r="H93" s="64"/>
      <c r="I93" s="64"/>
      <c r="J93" s="93"/>
    </row>
    <row r="94" spans="1:10" ht="12">
      <c r="A94" s="64"/>
      <c r="B94" s="64"/>
      <c r="C94" s="109"/>
      <c r="D94" s="59"/>
      <c r="E94" s="58" t="s">
        <v>53</v>
      </c>
      <c r="F94" s="59"/>
      <c r="G94" s="109"/>
      <c r="H94" s="64"/>
      <c r="I94" s="64"/>
      <c r="J94" s="93"/>
    </row>
    <row r="95" spans="1:10" ht="12">
      <c r="A95" s="110" t="s">
        <v>49</v>
      </c>
      <c r="B95" s="64"/>
      <c r="C95" s="111">
        <f>E95*(1-C93)</f>
        <v>99</v>
      </c>
      <c r="D95" s="112"/>
      <c r="E95" s="113">
        <f>C7</f>
        <v>110</v>
      </c>
      <c r="F95" s="112"/>
      <c r="G95" s="114">
        <f>E95*(1+G93)</f>
        <v>121.00000000000001</v>
      </c>
      <c r="H95" s="64"/>
      <c r="I95" s="64"/>
      <c r="J95" s="93"/>
    </row>
    <row r="96" spans="1:10" ht="4.5" customHeight="1">
      <c r="A96" s="64"/>
      <c r="B96" s="64"/>
      <c r="C96" s="64"/>
      <c r="D96" s="64"/>
      <c r="E96" s="65"/>
      <c r="F96" s="64"/>
      <c r="G96" s="64"/>
      <c r="H96" s="64"/>
      <c r="I96" s="64"/>
      <c r="J96" s="93"/>
    </row>
    <row r="97" spans="1:10" ht="12">
      <c r="A97" s="64" t="s">
        <v>57</v>
      </c>
      <c r="B97" s="64"/>
      <c r="C97" s="115">
        <f>$I$63/C95</f>
        <v>4.611131313131312</v>
      </c>
      <c r="D97" s="64"/>
      <c r="E97" s="115">
        <f>$I$63/E95</f>
        <v>4.150018181818181</v>
      </c>
      <c r="F97" s="64"/>
      <c r="G97" s="115">
        <f>$I$63/G95</f>
        <v>3.7727438016528914</v>
      </c>
      <c r="H97" s="64"/>
      <c r="I97" s="64"/>
      <c r="J97" s="93"/>
    </row>
    <row r="98" spans="1:10" ht="4.5" customHeight="1">
      <c r="A98" s="64"/>
      <c r="B98" s="64"/>
      <c r="C98" s="64"/>
      <c r="D98" s="64"/>
      <c r="E98" s="65"/>
      <c r="F98" s="64"/>
      <c r="G98" s="64"/>
      <c r="H98" s="64"/>
      <c r="I98" s="64"/>
      <c r="J98" s="93"/>
    </row>
    <row r="99" spans="1:10" ht="12">
      <c r="A99" s="64" t="s">
        <v>58</v>
      </c>
      <c r="B99" s="64"/>
      <c r="C99" s="115">
        <f>$I$77/C95</f>
        <v>3.4136363636363636</v>
      </c>
      <c r="D99" s="64"/>
      <c r="E99" s="115">
        <f>$I$77/E95</f>
        <v>3.0722727272727273</v>
      </c>
      <c r="F99" s="64"/>
      <c r="G99" s="115">
        <f>$I$77/G95</f>
        <v>2.79297520661157</v>
      </c>
      <c r="H99" s="64"/>
      <c r="I99" s="64"/>
      <c r="J99" s="93"/>
    </row>
    <row r="100" spans="1:10" ht="3.75" customHeight="1">
      <c r="A100" s="64"/>
      <c r="B100" s="64"/>
      <c r="C100" s="64"/>
      <c r="D100" s="64"/>
      <c r="E100" s="65"/>
      <c r="F100" s="64"/>
      <c r="G100" s="64"/>
      <c r="H100" s="64"/>
      <c r="I100" s="64"/>
      <c r="J100" s="93"/>
    </row>
    <row r="101" spans="1:10" ht="12">
      <c r="A101" s="64" t="s">
        <v>59</v>
      </c>
      <c r="B101" s="64"/>
      <c r="C101" s="115">
        <f>$I$80/C95</f>
        <v>8.024767676767675</v>
      </c>
      <c r="D101" s="64"/>
      <c r="E101" s="115">
        <f>$I$80/E95</f>
        <v>7.222290909090908</v>
      </c>
      <c r="F101" s="64"/>
      <c r="G101" s="115">
        <f>$I$80/G95</f>
        <v>6.565719008264461</v>
      </c>
      <c r="H101" s="64"/>
      <c r="I101" s="64"/>
      <c r="J101" s="93"/>
    </row>
    <row r="102" spans="1:10" ht="5.25" customHeight="1">
      <c r="A102" s="67"/>
      <c r="B102" s="67"/>
      <c r="C102" s="67"/>
      <c r="D102" s="67"/>
      <c r="E102" s="72"/>
      <c r="F102" s="67"/>
      <c r="G102" s="67"/>
      <c r="H102" s="67"/>
      <c r="I102" s="67"/>
      <c r="J102" s="93"/>
    </row>
    <row r="103" spans="1:10" ht="12">
      <c r="A103" s="64"/>
      <c r="B103" s="64"/>
      <c r="C103" s="64"/>
      <c r="D103" s="64"/>
      <c r="E103" s="65"/>
      <c r="F103" s="64"/>
      <c r="G103" s="64"/>
      <c r="H103" s="64"/>
      <c r="I103" s="64"/>
      <c r="J103" s="93"/>
    </row>
    <row r="104" spans="1:10" ht="12">
      <c r="A104" s="64"/>
      <c r="B104" s="64"/>
      <c r="C104" s="59"/>
      <c r="D104" s="59"/>
      <c r="E104" s="60" t="s">
        <v>49</v>
      </c>
      <c r="F104" s="59"/>
      <c r="G104" s="59"/>
      <c r="H104" s="64"/>
      <c r="I104" s="64"/>
      <c r="J104" s="93"/>
    </row>
    <row r="105" spans="1:10" ht="12">
      <c r="A105" s="110" t="s">
        <v>53</v>
      </c>
      <c r="B105" s="64"/>
      <c r="C105" s="116">
        <f>E105*(1-C93)</f>
        <v>6.075</v>
      </c>
      <c r="D105" s="112"/>
      <c r="E105" s="117">
        <f>G7</f>
        <v>6.75</v>
      </c>
      <c r="F105" s="112"/>
      <c r="G105" s="116">
        <f>E105*(1+G93)</f>
        <v>7.425000000000001</v>
      </c>
      <c r="H105" s="64"/>
      <c r="I105" s="64"/>
      <c r="J105" s="93"/>
    </row>
    <row r="106" spans="1:10" ht="4.5" customHeight="1">
      <c r="A106" s="64"/>
      <c r="B106" s="64"/>
      <c r="C106" s="64"/>
      <c r="D106" s="64"/>
      <c r="E106" s="65"/>
      <c r="F106" s="64"/>
      <c r="G106" s="64"/>
      <c r="H106" s="64"/>
      <c r="I106" s="64"/>
      <c r="J106" s="93"/>
    </row>
    <row r="107" spans="1:10" ht="12">
      <c r="A107" s="64" t="s">
        <v>57</v>
      </c>
      <c r="B107" s="64"/>
      <c r="C107" s="118">
        <f>$I$63/C105</f>
        <v>75.14436213991767</v>
      </c>
      <c r="D107" s="64"/>
      <c r="E107" s="118">
        <f>$I$63/E105</f>
        <v>67.62992592592592</v>
      </c>
      <c r="F107" s="64"/>
      <c r="G107" s="118">
        <f>$I$63/G105</f>
        <v>61.481750841750824</v>
      </c>
      <c r="H107" s="64"/>
      <c r="I107" s="64"/>
      <c r="J107" s="93"/>
    </row>
    <row r="108" spans="1:10" ht="3" customHeight="1">
      <c r="A108" s="64"/>
      <c r="B108" s="64"/>
      <c r="C108" s="64"/>
      <c r="D108" s="64"/>
      <c r="E108" s="65"/>
      <c r="F108" s="64"/>
      <c r="G108" s="64"/>
      <c r="H108" s="64"/>
      <c r="I108" s="64"/>
      <c r="J108" s="93"/>
    </row>
    <row r="109" spans="1:10" ht="12">
      <c r="A109" s="64" t="s">
        <v>58</v>
      </c>
      <c r="B109" s="64"/>
      <c r="C109" s="118">
        <f>$I$77/C105</f>
        <v>55.629629629629626</v>
      </c>
      <c r="D109" s="64"/>
      <c r="E109" s="118">
        <f>$I$77/E105</f>
        <v>50.06666666666666</v>
      </c>
      <c r="F109" s="64"/>
      <c r="G109" s="118">
        <f>$I$77/G105</f>
        <v>45.51515151515151</v>
      </c>
      <c r="H109" s="64"/>
      <c r="I109" s="64"/>
      <c r="J109" s="93"/>
    </row>
    <row r="110" spans="1:10" ht="3.75" customHeight="1">
      <c r="A110" s="64"/>
      <c r="B110" s="64"/>
      <c r="C110" s="64"/>
      <c r="D110" s="64"/>
      <c r="E110" s="65"/>
      <c r="F110" s="64"/>
      <c r="G110" s="64"/>
      <c r="H110" s="64"/>
      <c r="I110" s="64"/>
      <c r="J110" s="93"/>
    </row>
    <row r="111" spans="1:10" ht="12">
      <c r="A111" s="64" t="s">
        <v>59</v>
      </c>
      <c r="B111" s="64"/>
      <c r="C111" s="118">
        <f>$I$80/C105</f>
        <v>130.7739917695473</v>
      </c>
      <c r="D111" s="64"/>
      <c r="E111" s="118">
        <f>$I$80/E105</f>
        <v>117.69659259259258</v>
      </c>
      <c r="F111" s="64"/>
      <c r="G111" s="118">
        <f>$I$80/G105</f>
        <v>106.99690235690232</v>
      </c>
      <c r="H111" s="64"/>
      <c r="I111" s="64"/>
      <c r="J111" s="93"/>
    </row>
    <row r="112" spans="1:10" ht="5.25" customHeight="1">
      <c r="A112" s="64"/>
      <c r="B112" s="64"/>
      <c r="C112" s="64"/>
      <c r="D112" s="64"/>
      <c r="E112" s="65"/>
      <c r="F112" s="64"/>
      <c r="G112" s="64"/>
      <c r="H112" s="64"/>
      <c r="I112" s="64"/>
      <c r="J112" s="93"/>
    </row>
    <row r="113" spans="1:10" ht="12">
      <c r="A113" s="59"/>
      <c r="B113" s="59"/>
      <c r="C113" s="59"/>
      <c r="D113" s="59"/>
      <c r="E113" s="60"/>
      <c r="F113" s="59"/>
      <c r="G113" s="59"/>
      <c r="H113" s="59"/>
      <c r="I113" s="59"/>
      <c r="J113" s="93"/>
    </row>
    <row r="114" spans="1:10" ht="12">
      <c r="A114" s="64"/>
      <c r="B114" s="64"/>
      <c r="C114" s="64"/>
      <c r="D114" s="64"/>
      <c r="E114" s="65"/>
      <c r="F114" s="64"/>
      <c r="G114" s="64"/>
      <c r="H114" s="64"/>
      <c r="I114" s="64"/>
      <c r="J114" s="93"/>
    </row>
    <row r="115" spans="1:10" ht="12">
      <c r="A115" s="119" t="s">
        <v>62</v>
      </c>
      <c r="B115" s="64"/>
      <c r="C115" s="237"/>
      <c r="D115" s="237"/>
      <c r="E115" s="237"/>
      <c r="F115" s="64"/>
      <c r="G115" s="64"/>
      <c r="H115" s="64"/>
      <c r="I115" s="64"/>
      <c r="J115" s="93"/>
    </row>
    <row r="116" spans="1:10" ht="12">
      <c r="A116" s="119" t="s">
        <v>60</v>
      </c>
      <c r="B116" s="64"/>
      <c r="C116" s="237"/>
      <c r="D116" s="237"/>
      <c r="E116" s="237"/>
      <c r="F116" s="237"/>
      <c r="G116" s="237"/>
      <c r="H116" s="64"/>
      <c r="I116" s="64"/>
      <c r="J116" s="93"/>
    </row>
    <row r="117" spans="1:10" ht="12">
      <c r="A117" s="119" t="s">
        <v>61</v>
      </c>
      <c r="B117" s="64"/>
      <c r="C117" s="237"/>
      <c r="D117" s="237"/>
      <c r="E117" s="237"/>
      <c r="F117" s="237"/>
      <c r="G117" s="237"/>
      <c r="H117" s="64"/>
      <c r="I117" s="64"/>
      <c r="J117" s="93"/>
    </row>
    <row r="118" spans="1:10" ht="12">
      <c r="A118" s="64"/>
      <c r="B118" s="64"/>
      <c r="C118" s="237"/>
      <c r="D118" s="237"/>
      <c r="E118" s="237"/>
      <c r="F118" s="237"/>
      <c r="G118" s="237"/>
      <c r="H118" s="64"/>
      <c r="I118" s="64"/>
      <c r="J118" s="93"/>
    </row>
    <row r="119" spans="1:10" ht="12">
      <c r="A119" s="64"/>
      <c r="B119" s="64"/>
      <c r="C119" s="237"/>
      <c r="D119" s="237"/>
      <c r="E119" s="237"/>
      <c r="F119" s="237"/>
      <c r="G119" s="237"/>
      <c r="H119" s="64"/>
      <c r="I119" s="64"/>
      <c r="J119" s="93"/>
    </row>
    <row r="120" spans="1:10" ht="12">
      <c r="A120" s="64"/>
      <c r="B120" s="64"/>
      <c r="C120" s="64"/>
      <c r="D120" s="64"/>
      <c r="E120" s="65"/>
      <c r="F120" s="64"/>
      <c r="G120" s="64"/>
      <c r="H120" s="64"/>
      <c r="I120" s="64"/>
      <c r="J120" s="93"/>
    </row>
  </sheetData>
  <sheetProtection/>
  <mergeCells count="23">
    <mergeCell ref="C116:G116"/>
    <mergeCell ref="C117:G117"/>
    <mergeCell ref="C118:G118"/>
    <mergeCell ref="C119:G119"/>
    <mergeCell ref="A74:C74"/>
    <mergeCell ref="D74:H74"/>
    <mergeCell ref="A75:C75"/>
    <mergeCell ref="D75:H75"/>
    <mergeCell ref="A86:I90"/>
    <mergeCell ref="C115:E115"/>
    <mergeCell ref="A70:C70"/>
    <mergeCell ref="D70:H70"/>
    <mergeCell ref="A71:C71"/>
    <mergeCell ref="D71:H71"/>
    <mergeCell ref="A72:C72"/>
    <mergeCell ref="A73:C73"/>
    <mergeCell ref="D73:H73"/>
    <mergeCell ref="A1:J1"/>
    <mergeCell ref="L7:P7"/>
    <mergeCell ref="L8:Q8"/>
    <mergeCell ref="B61:G61"/>
    <mergeCell ref="A69:C69"/>
    <mergeCell ref="D69:H69"/>
  </mergeCells>
  <printOptions/>
  <pageMargins left="1.25" right="0.75" top="0.5" bottom="0.5" header="0.5" footer="0.5"/>
  <pageSetup horizontalDpi="600" verticalDpi="600" orientation="portrait" scale="86" r:id="rId1"/>
  <headerFooter alignWithMargins="0">
    <oddFooter>&amp;L&amp;A&amp;CUniversity of Idaho&amp;RAERS Dept</oddFooter>
  </headerFooter>
  <rowBreaks count="1" manualBreakCount="1">
    <brk id="67" max="255" man="1"/>
  </rowBreaks>
</worksheet>
</file>

<file path=xl/worksheets/sheet15.xml><?xml version="1.0" encoding="utf-8"?>
<worksheet xmlns="http://schemas.openxmlformats.org/spreadsheetml/2006/main" xmlns:r="http://schemas.openxmlformats.org/officeDocument/2006/relationships">
  <dimension ref="A1:Q120"/>
  <sheetViews>
    <sheetView zoomScalePageLayoutView="0" workbookViewId="0" topLeftCell="A1">
      <selection activeCell="J2" sqref="J2"/>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00390625" style="36" customWidth="1"/>
    <col min="13" max="16384" width="9.140625" style="36" customWidth="1"/>
  </cols>
  <sheetData>
    <row r="1" spans="1:12" ht="33.75" customHeight="1">
      <c r="A1" s="230" t="s">
        <v>418</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123" t="s">
        <v>227</v>
      </c>
      <c r="B7" s="67"/>
      <c r="C7" s="66">
        <v>130</v>
      </c>
      <c r="D7" s="67"/>
      <c r="E7" s="122" t="s">
        <v>76</v>
      </c>
      <c r="F7" s="67"/>
      <c r="G7" s="69">
        <v>6.75</v>
      </c>
      <c r="H7" s="67"/>
      <c r="I7" s="70">
        <f>C7*G7</f>
        <v>877.5</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25</v>
      </c>
      <c r="J11" s="56"/>
    </row>
    <row r="12" spans="1:10" ht="12">
      <c r="A12" s="79" t="s">
        <v>132</v>
      </c>
      <c r="B12" s="64"/>
      <c r="C12" s="79">
        <v>100</v>
      </c>
      <c r="D12" s="64"/>
      <c r="E12" s="80" t="s">
        <v>38</v>
      </c>
      <c r="F12" s="64"/>
      <c r="G12" s="91">
        <v>0.25</v>
      </c>
      <c r="H12" s="64"/>
      <c r="I12" s="75">
        <f>C12*G12</f>
        <v>25</v>
      </c>
      <c r="J12" s="56"/>
    </row>
    <row r="13" spans="1:10" ht="12">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118.9</v>
      </c>
      <c r="J15" s="56"/>
    </row>
    <row r="16" spans="1:10" ht="12">
      <c r="A16" s="79" t="s">
        <v>74</v>
      </c>
      <c r="B16" s="64"/>
      <c r="C16" s="79">
        <v>140</v>
      </c>
      <c r="D16" s="64"/>
      <c r="E16" s="80" t="s">
        <v>38</v>
      </c>
      <c r="F16" s="64"/>
      <c r="G16" s="91">
        <f>DN</f>
        <v>0.66</v>
      </c>
      <c r="H16" s="64"/>
      <c r="I16" s="75">
        <f aca="true" t="shared" si="0" ref="I16:I21">C16*G16</f>
        <v>92.4</v>
      </c>
      <c r="J16" s="56"/>
    </row>
    <row r="17" spans="1:10" ht="12">
      <c r="A17" s="79" t="s">
        <v>72</v>
      </c>
      <c r="B17" s="64"/>
      <c r="C17" s="79">
        <v>50</v>
      </c>
      <c r="D17" s="64"/>
      <c r="E17" s="80" t="s">
        <v>38</v>
      </c>
      <c r="F17" s="64"/>
      <c r="G17" s="91">
        <f>Dry</f>
        <v>0.53</v>
      </c>
      <c r="H17" s="64"/>
      <c r="I17" s="75">
        <f t="shared" si="0"/>
        <v>26.5</v>
      </c>
      <c r="J17" s="56"/>
    </row>
    <row r="18" spans="1:10" ht="12">
      <c r="A18" s="79"/>
      <c r="B18" s="64"/>
      <c r="C18" s="79"/>
      <c r="D18" s="64"/>
      <c r="E18" s="80"/>
      <c r="F18" s="64"/>
      <c r="G18" s="84"/>
      <c r="H18" s="64"/>
      <c r="I18" s="85">
        <f t="shared" si="0"/>
        <v>0</v>
      </c>
      <c r="J18" s="56"/>
    </row>
    <row r="19" spans="1:10" ht="12">
      <c r="A19" s="79"/>
      <c r="B19" s="64"/>
      <c r="C19" s="79"/>
      <c r="D19" s="64"/>
      <c r="E19" s="80"/>
      <c r="F19" s="64"/>
      <c r="G19" s="84"/>
      <c r="H19" s="64"/>
      <c r="I19" s="85">
        <f t="shared" si="0"/>
        <v>0</v>
      </c>
      <c r="J19" s="56"/>
    </row>
    <row r="20" spans="1:10" ht="12">
      <c r="A20" s="79"/>
      <c r="B20" s="64"/>
      <c r="C20" s="79"/>
      <c r="D20" s="64"/>
      <c r="E20" s="80"/>
      <c r="F20" s="64"/>
      <c r="G20" s="84"/>
      <c r="H20" s="64"/>
      <c r="I20" s="85">
        <f t="shared" si="0"/>
        <v>0</v>
      </c>
      <c r="J20" s="56"/>
    </row>
    <row r="21" spans="2:10" ht="12">
      <c r="B21" s="64"/>
      <c r="C21" s="79"/>
      <c r="D21" s="64"/>
      <c r="E21" s="80"/>
      <c r="F21" s="64"/>
      <c r="G21" s="82"/>
      <c r="H21" s="64"/>
      <c r="I21" s="85">
        <f t="shared" si="0"/>
        <v>0</v>
      </c>
      <c r="J21" s="56"/>
    </row>
    <row r="22" spans="1:10" ht="12">
      <c r="A22" s="64"/>
      <c r="B22" s="64"/>
      <c r="C22" s="64"/>
      <c r="D22" s="64"/>
      <c r="E22" s="65"/>
      <c r="F22" s="64"/>
      <c r="G22" s="74"/>
      <c r="H22" s="64"/>
      <c r="I22" s="85"/>
      <c r="J22" s="56"/>
    </row>
    <row r="23" spans="1:10" ht="12.75">
      <c r="A23" s="76" t="s">
        <v>17</v>
      </c>
      <c r="B23" s="64"/>
      <c r="C23" s="64"/>
      <c r="D23" s="64"/>
      <c r="E23" s="65"/>
      <c r="F23" s="64"/>
      <c r="G23" s="74"/>
      <c r="H23" s="64"/>
      <c r="I23" s="86">
        <f>SUM(I24:I27)</f>
        <v>24.509999999999998</v>
      </c>
      <c r="J23" s="56"/>
    </row>
    <row r="24" spans="1:13" ht="12">
      <c r="A24" s="78" t="s">
        <v>236</v>
      </c>
      <c r="B24" s="64"/>
      <c r="C24" s="79">
        <v>0.5</v>
      </c>
      <c r="D24" s="64"/>
      <c r="E24" s="89" t="s">
        <v>207</v>
      </c>
      <c r="F24" s="64"/>
      <c r="G24" s="91">
        <f>StaraneUltra</f>
        <v>32.4</v>
      </c>
      <c r="H24" s="64"/>
      <c r="I24" s="85">
        <f>C24*G24</f>
        <v>16.2</v>
      </c>
      <c r="J24" s="56"/>
      <c r="K24" s="121"/>
      <c r="L24" s="121"/>
      <c r="M24" s="121"/>
    </row>
    <row r="25" spans="1:13" ht="12">
      <c r="A25" s="78" t="s">
        <v>252</v>
      </c>
      <c r="B25" s="64"/>
      <c r="C25" s="79">
        <v>0.6</v>
      </c>
      <c r="D25" s="64"/>
      <c r="E25" s="89" t="s">
        <v>46</v>
      </c>
      <c r="F25" s="64"/>
      <c r="G25" s="91">
        <f>AffinityB</f>
        <v>12.6</v>
      </c>
      <c r="H25" s="64"/>
      <c r="I25" s="85">
        <f>C25*G25</f>
        <v>7.56</v>
      </c>
      <c r="J25" s="56"/>
      <c r="K25" s="121"/>
      <c r="L25" s="121"/>
      <c r="M25" s="121"/>
    </row>
    <row r="26" spans="1:10" ht="12">
      <c r="A26" s="78" t="s">
        <v>253</v>
      </c>
      <c r="B26" s="139"/>
      <c r="C26" s="78">
        <v>1</v>
      </c>
      <c r="D26" s="139"/>
      <c r="E26" s="89" t="s">
        <v>39</v>
      </c>
      <c r="F26" s="90"/>
      <c r="G26" s="81">
        <f>Nonionic</f>
        <v>0.75</v>
      </c>
      <c r="H26" s="64"/>
      <c r="I26" s="85">
        <f>C26*G26</f>
        <v>0.75</v>
      </c>
      <c r="J26" s="56"/>
    </row>
    <row r="27" spans="1:10" ht="12">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96.5</v>
      </c>
      <c r="J29" s="56"/>
    </row>
    <row r="30" spans="1:10" ht="12">
      <c r="A30" s="79" t="s">
        <v>18</v>
      </c>
      <c r="B30" s="64"/>
      <c r="C30" s="79">
        <v>2</v>
      </c>
      <c r="D30" s="64"/>
      <c r="E30" s="80" t="s">
        <v>39</v>
      </c>
      <c r="F30" s="64"/>
      <c r="G30" s="91">
        <v>8</v>
      </c>
      <c r="H30" s="64"/>
      <c r="I30" s="85">
        <f>C30*G30</f>
        <v>16</v>
      </c>
      <c r="J30" s="56"/>
    </row>
    <row r="31" spans="1:10" ht="12">
      <c r="A31" s="88" t="s">
        <v>47</v>
      </c>
      <c r="B31" s="64"/>
      <c r="C31" s="79">
        <v>1</v>
      </c>
      <c r="D31" s="64"/>
      <c r="E31" s="80" t="s">
        <v>39</v>
      </c>
      <c r="F31" s="64"/>
      <c r="G31" s="81">
        <v>48</v>
      </c>
      <c r="H31" s="64"/>
      <c r="I31" s="85">
        <f>C31*G31</f>
        <v>48</v>
      </c>
      <c r="J31" s="56"/>
    </row>
    <row r="32" spans="1:10" ht="12">
      <c r="A32" s="88" t="s">
        <v>48</v>
      </c>
      <c r="B32" s="64"/>
      <c r="C32" s="79">
        <v>130</v>
      </c>
      <c r="D32" s="64"/>
      <c r="E32" s="80" t="s">
        <v>76</v>
      </c>
      <c r="F32" s="64"/>
      <c r="G32" s="81">
        <v>0.25</v>
      </c>
      <c r="H32" s="64"/>
      <c r="I32" s="85">
        <f>C32*G32</f>
        <v>32.5</v>
      </c>
      <c r="J32" s="56"/>
    </row>
    <row r="33" spans="1:10" ht="12">
      <c r="A33" s="79"/>
      <c r="B33" s="64"/>
      <c r="C33" s="79"/>
      <c r="D33" s="64"/>
      <c r="E33" s="80"/>
      <c r="F33" s="64"/>
      <c r="G33" s="84"/>
      <c r="H33" s="64"/>
      <c r="I33" s="85">
        <f>C33*G33</f>
        <v>0</v>
      </c>
      <c r="J33" s="56"/>
    </row>
    <row r="34" spans="1:10" ht="12">
      <c r="A34" s="79"/>
      <c r="B34" s="64"/>
      <c r="C34" s="79"/>
      <c r="D34" s="64"/>
      <c r="E34" s="80"/>
      <c r="F34" s="64"/>
      <c r="G34" s="84"/>
      <c r="H34" s="64"/>
      <c r="I34" s="85">
        <f>C34*G34</f>
        <v>0</v>
      </c>
      <c r="J34" s="56"/>
    </row>
    <row r="35" spans="1:10" ht="12">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
      <c r="A37" s="79" t="s">
        <v>21</v>
      </c>
      <c r="B37" s="64"/>
      <c r="C37" s="79">
        <v>1</v>
      </c>
      <c r="D37" s="64"/>
      <c r="E37" s="80" t="s">
        <v>39</v>
      </c>
      <c r="F37" s="64"/>
      <c r="G37" s="91">
        <f>WaterA</f>
        <v>48.85</v>
      </c>
      <c r="H37" s="64"/>
      <c r="I37" s="85">
        <f>C37*G37</f>
        <v>48.85</v>
      </c>
      <c r="J37" s="56"/>
    </row>
    <row r="38" spans="1:10" ht="12">
      <c r="A38" s="79" t="s">
        <v>84</v>
      </c>
      <c r="B38" s="64"/>
      <c r="C38" s="79">
        <v>1</v>
      </c>
      <c r="D38" s="64"/>
      <c r="E38" s="80" t="s">
        <v>39</v>
      </c>
      <c r="F38" s="64"/>
      <c r="G38" s="91">
        <f>IrrigationR</f>
        <v>2.75</v>
      </c>
      <c r="H38" s="64"/>
      <c r="I38" s="85">
        <f>C38*G38</f>
        <v>2.75</v>
      </c>
      <c r="J38" s="56"/>
    </row>
    <row r="39" spans="1:10" ht="12">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41.433</v>
      </c>
      <c r="J41" s="56"/>
    </row>
    <row r="42" spans="1:10" ht="12">
      <c r="A42" s="78" t="s">
        <v>150</v>
      </c>
      <c r="B42" s="64"/>
      <c r="C42" s="79">
        <v>1.27</v>
      </c>
      <c r="D42" s="64"/>
      <c r="E42" s="89" t="s">
        <v>91</v>
      </c>
      <c r="F42" s="64"/>
      <c r="G42" s="91">
        <v>3.7</v>
      </c>
      <c r="H42" s="64"/>
      <c r="I42" s="85">
        <f>C42*G42</f>
        <v>4.699000000000001</v>
      </c>
      <c r="J42" s="56"/>
    </row>
    <row r="43" spans="1:10" ht="12">
      <c r="A43" s="78" t="s">
        <v>151</v>
      </c>
      <c r="B43" s="64"/>
      <c r="C43" s="79">
        <v>6.26</v>
      </c>
      <c r="D43" s="64"/>
      <c r="E43" s="89" t="s">
        <v>91</v>
      </c>
      <c r="F43" s="64"/>
      <c r="G43" s="91">
        <f>FuelD</f>
        <v>3.6</v>
      </c>
      <c r="H43" s="64"/>
      <c r="I43" s="85">
        <f>C43*G43</f>
        <v>22.536</v>
      </c>
      <c r="J43" s="56"/>
    </row>
    <row r="44" spans="1:10" ht="12">
      <c r="A44" s="78" t="s">
        <v>284</v>
      </c>
      <c r="B44" s="64"/>
      <c r="C44" s="79">
        <v>0.08</v>
      </c>
      <c r="D44" s="64"/>
      <c r="E44" s="89" t="s">
        <v>91</v>
      </c>
      <c r="F44" s="64"/>
      <c r="G44" s="91">
        <f>FuelRD</f>
        <v>4.1</v>
      </c>
      <c r="H44" s="64"/>
      <c r="I44" s="85">
        <f>C44*G44</f>
        <v>0.32799999999999996</v>
      </c>
      <c r="J44" s="56"/>
    </row>
    <row r="45" spans="1:10" ht="12">
      <c r="A45" s="83" t="s">
        <v>152</v>
      </c>
      <c r="B45" s="64"/>
      <c r="C45" s="79">
        <v>1</v>
      </c>
      <c r="D45" s="64"/>
      <c r="E45" s="89" t="s">
        <v>39</v>
      </c>
      <c r="F45" s="64"/>
      <c r="G45" s="91">
        <v>4.13</v>
      </c>
      <c r="H45" s="64"/>
      <c r="I45" s="85">
        <f>C45*G45</f>
        <v>4.13</v>
      </c>
      <c r="J45" s="56"/>
    </row>
    <row r="46" spans="1:10" ht="12">
      <c r="A46" s="83" t="s">
        <v>26</v>
      </c>
      <c r="B46" s="64"/>
      <c r="C46" s="79">
        <v>1</v>
      </c>
      <c r="D46" s="64"/>
      <c r="E46" s="89" t="s">
        <v>39</v>
      </c>
      <c r="F46" s="64"/>
      <c r="G46" s="91">
        <v>9.74</v>
      </c>
      <c r="H46" s="64"/>
      <c r="I46" s="85">
        <f>C46*G46</f>
        <v>9.74</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65.27300000000001</v>
      </c>
      <c r="J48" s="56"/>
    </row>
    <row r="49" spans="1:10" ht="12">
      <c r="A49" s="78" t="s">
        <v>156</v>
      </c>
      <c r="B49" s="64"/>
      <c r="C49" s="164">
        <v>1.76</v>
      </c>
      <c r="D49" s="64"/>
      <c r="E49" s="89" t="s">
        <v>42</v>
      </c>
      <c r="F49" s="64"/>
      <c r="G49" s="91">
        <f>Labor</f>
        <v>17.8</v>
      </c>
      <c r="H49" s="64"/>
      <c r="I49" s="85">
        <f>C49*G49</f>
        <v>31.328000000000003</v>
      </c>
      <c r="J49" s="56"/>
    </row>
    <row r="50" spans="1:10" ht="12">
      <c r="A50" s="78" t="s">
        <v>158</v>
      </c>
      <c r="B50" s="64"/>
      <c r="C50" s="79">
        <v>2.45</v>
      </c>
      <c r="D50" s="64"/>
      <c r="E50" s="80" t="s">
        <v>42</v>
      </c>
      <c r="F50" s="64"/>
      <c r="G50" s="91">
        <f>IrriL</f>
        <v>12.6</v>
      </c>
      <c r="H50" s="64"/>
      <c r="I50" s="85">
        <f>C50*G50</f>
        <v>30.87</v>
      </c>
      <c r="J50" s="56"/>
    </row>
    <row r="51" spans="1:10" ht="12">
      <c r="A51" s="78" t="s">
        <v>153</v>
      </c>
      <c r="B51" s="64"/>
      <c r="C51" s="164">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
      <c r="A54" s="78"/>
      <c r="B54" s="64"/>
      <c r="C54" s="79"/>
      <c r="D54" s="64"/>
      <c r="E54" s="89"/>
      <c r="F54" s="64"/>
      <c r="G54" s="92"/>
      <c r="H54" s="64"/>
      <c r="I54" s="85">
        <f>C54*G54</f>
        <v>0</v>
      </c>
      <c r="J54" s="56"/>
    </row>
    <row r="55" spans="1:10" ht="12">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12.25</v>
      </c>
      <c r="J57" s="56"/>
    </row>
    <row r="58" spans="1:10" ht="12">
      <c r="A58" s="79" t="s">
        <v>24</v>
      </c>
      <c r="B58" s="64"/>
      <c r="C58" s="79">
        <v>1</v>
      </c>
      <c r="D58" s="64"/>
      <c r="E58" s="80" t="s">
        <v>39</v>
      </c>
      <c r="F58" s="64"/>
      <c r="G58" s="81">
        <v>12.25</v>
      </c>
      <c r="H58" s="64"/>
      <c r="I58" s="85">
        <f>C58*G58</f>
        <v>12.25</v>
      </c>
      <c r="J58" s="56"/>
    </row>
    <row r="59" spans="1:10" ht="12">
      <c r="A59" s="79"/>
      <c r="B59" s="64"/>
      <c r="C59" s="79"/>
      <c r="D59" s="64"/>
      <c r="E59" s="80"/>
      <c r="F59" s="64"/>
      <c r="G59" s="84"/>
      <c r="H59" s="64"/>
      <c r="I59" s="85">
        <f>C59*G59</f>
        <v>0</v>
      </c>
      <c r="J59" s="56"/>
    </row>
    <row r="60" spans="1:10" ht="4.5" customHeight="1">
      <c r="A60" s="88"/>
      <c r="B60" s="93"/>
      <c r="C60" s="95"/>
      <c r="D60" s="93"/>
      <c r="E60" s="96"/>
      <c r="F60" s="93"/>
      <c r="G60" s="97"/>
      <c r="H60" s="64"/>
      <c r="I60" s="101"/>
      <c r="J60" s="56"/>
    </row>
    <row r="61" spans="1:10" ht="12">
      <c r="A61" s="102" t="s">
        <v>388</v>
      </c>
      <c r="B61" s="235"/>
      <c r="C61" s="235"/>
      <c r="D61" s="235"/>
      <c r="E61" s="235"/>
      <c r="F61" s="235"/>
      <c r="G61" s="235"/>
      <c r="H61" s="64"/>
      <c r="I61" s="91">
        <v>13.51</v>
      </c>
      <c r="J61" s="56"/>
    </row>
    <row r="62" spans="1:10" ht="5.25" customHeight="1">
      <c r="A62" s="64"/>
      <c r="B62" s="64"/>
      <c r="C62" s="64"/>
      <c r="D62" s="64"/>
      <c r="E62" s="65"/>
      <c r="F62" s="64"/>
      <c r="G62" s="64"/>
      <c r="H62" s="64"/>
      <c r="I62" s="85"/>
      <c r="J62" s="56"/>
    </row>
    <row r="63" spans="1:10" ht="12">
      <c r="A63" s="64" t="s">
        <v>27</v>
      </c>
      <c r="B63" s="64"/>
      <c r="C63" s="64"/>
      <c r="D63" s="64"/>
      <c r="E63" s="65"/>
      <c r="F63" s="64"/>
      <c r="G63" s="64"/>
      <c r="H63" s="64"/>
      <c r="I63" s="85">
        <f>SUM(I11:I61)-(I11+I15+I23+I29+I36+I41+I48+I53+I57)</f>
        <v>448.9759999999999</v>
      </c>
      <c r="J63" s="56"/>
    </row>
    <row r="64" spans="1:10" ht="12">
      <c r="A64" s="64" t="s">
        <v>28</v>
      </c>
      <c r="B64" s="64"/>
      <c r="C64" s="64"/>
      <c r="D64" s="64"/>
      <c r="E64" s="65"/>
      <c r="F64" s="64"/>
      <c r="G64" s="64"/>
      <c r="H64" s="64"/>
      <c r="I64" s="85">
        <f>I63/C7</f>
        <v>3.4536615384615375</v>
      </c>
      <c r="J64" s="56"/>
    </row>
    <row r="65" spans="1:10" ht="5.25" customHeight="1">
      <c r="A65" s="64"/>
      <c r="B65" s="64"/>
      <c r="C65" s="64"/>
      <c r="D65" s="64"/>
      <c r="E65" s="65"/>
      <c r="F65" s="64"/>
      <c r="G65" s="64"/>
      <c r="H65" s="64"/>
      <c r="I65" s="85"/>
      <c r="J65" s="56"/>
    </row>
    <row r="66" spans="1:10" ht="12">
      <c r="A66" s="59" t="s">
        <v>29</v>
      </c>
      <c r="B66" s="59"/>
      <c r="C66" s="59"/>
      <c r="D66" s="59"/>
      <c r="E66" s="60"/>
      <c r="F66" s="59"/>
      <c r="G66" s="59"/>
      <c r="H66" s="59"/>
      <c r="I66" s="103">
        <f>I7-I63</f>
        <v>428.5240000000001</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
      <c r="A69" s="234" t="s">
        <v>63</v>
      </c>
      <c r="B69" s="234"/>
      <c r="C69" s="234"/>
      <c r="D69" s="235"/>
      <c r="E69" s="235"/>
      <c r="F69" s="235"/>
      <c r="G69" s="235"/>
      <c r="H69" s="235"/>
      <c r="I69" s="91">
        <v>0.98</v>
      </c>
      <c r="J69" s="56"/>
    </row>
    <row r="70" spans="1:10" ht="12">
      <c r="A70" s="236" t="s">
        <v>352</v>
      </c>
      <c r="B70" s="236"/>
      <c r="C70" s="236"/>
      <c r="D70" s="235"/>
      <c r="E70" s="235"/>
      <c r="F70" s="235"/>
      <c r="G70" s="235"/>
      <c r="H70" s="235"/>
      <c r="I70" s="91">
        <v>35.02</v>
      </c>
      <c r="J70" s="56"/>
    </row>
    <row r="71" spans="1:10" ht="12">
      <c r="A71" s="237" t="s">
        <v>44</v>
      </c>
      <c r="B71" s="237"/>
      <c r="C71" s="237"/>
      <c r="D71" s="235"/>
      <c r="E71" s="235"/>
      <c r="F71" s="235"/>
      <c r="G71" s="235"/>
      <c r="H71" s="235"/>
      <c r="I71" s="91">
        <v>250</v>
      </c>
      <c r="J71" s="56"/>
    </row>
    <row r="72" spans="1:10" ht="12">
      <c r="A72" s="237" t="s">
        <v>31</v>
      </c>
      <c r="B72" s="237"/>
      <c r="C72" s="237"/>
      <c r="D72" s="64"/>
      <c r="E72" s="65"/>
      <c r="F72" s="64"/>
      <c r="G72" s="64"/>
      <c r="H72" s="64"/>
      <c r="I72" s="91">
        <v>11</v>
      </c>
      <c r="J72" s="56"/>
    </row>
    <row r="73" spans="1:10" ht="12">
      <c r="A73" s="237" t="s">
        <v>32</v>
      </c>
      <c r="B73" s="237"/>
      <c r="C73" s="237"/>
      <c r="D73" s="235"/>
      <c r="E73" s="235"/>
      <c r="F73" s="235"/>
      <c r="G73" s="235"/>
      <c r="H73" s="235"/>
      <c r="I73" s="91">
        <v>39</v>
      </c>
      <c r="J73" s="56"/>
    </row>
    <row r="74" spans="1:10" ht="12">
      <c r="A74" s="237"/>
      <c r="B74" s="237"/>
      <c r="C74" s="237"/>
      <c r="D74" s="235"/>
      <c r="E74" s="235"/>
      <c r="F74" s="235"/>
      <c r="G74" s="235"/>
      <c r="H74" s="235"/>
      <c r="I74" s="88"/>
      <c r="J74" s="56"/>
    </row>
    <row r="75" spans="1:10" ht="12">
      <c r="A75" s="237"/>
      <c r="B75" s="237"/>
      <c r="C75" s="237"/>
      <c r="D75" s="235"/>
      <c r="E75" s="235"/>
      <c r="F75" s="235"/>
      <c r="G75" s="235"/>
      <c r="H75" s="235"/>
      <c r="I75" s="104"/>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336</v>
      </c>
      <c r="J77" s="56"/>
    </row>
    <row r="78" spans="1:10" ht="12.75">
      <c r="A78" s="76" t="s">
        <v>34</v>
      </c>
      <c r="B78" s="64"/>
      <c r="C78" s="64"/>
      <c r="D78" s="64"/>
      <c r="E78" s="65"/>
      <c r="F78" s="64"/>
      <c r="G78" s="64"/>
      <c r="H78" s="64"/>
      <c r="I78" s="85">
        <f>I77/C7</f>
        <v>2.5846153846153848</v>
      </c>
      <c r="J78" s="56"/>
    </row>
    <row r="79" spans="1:10" ht="12">
      <c r="A79" s="64"/>
      <c r="B79" s="64"/>
      <c r="C79" s="64"/>
      <c r="D79" s="64"/>
      <c r="E79" s="65"/>
      <c r="F79" s="64"/>
      <c r="G79" s="64"/>
      <c r="H79" s="64"/>
      <c r="I79" s="85"/>
      <c r="J79" s="56"/>
    </row>
    <row r="80" spans="1:10" ht="12.75">
      <c r="A80" s="76" t="s">
        <v>35</v>
      </c>
      <c r="B80" s="64"/>
      <c r="C80" s="64"/>
      <c r="D80" s="64"/>
      <c r="E80" s="65"/>
      <c r="F80" s="64"/>
      <c r="G80" s="64"/>
      <c r="H80" s="64"/>
      <c r="I80" s="85">
        <f>I63+I77</f>
        <v>784.9759999999999</v>
      </c>
      <c r="J80" s="56"/>
    </row>
    <row r="81" spans="1:10" ht="12.75">
      <c r="A81" s="76" t="s">
        <v>36</v>
      </c>
      <c r="B81" s="64"/>
      <c r="C81" s="64"/>
      <c r="D81" s="64"/>
      <c r="E81" s="65"/>
      <c r="F81" s="64"/>
      <c r="G81" s="64"/>
      <c r="H81" s="64"/>
      <c r="I81" s="85">
        <f>I80/C7</f>
        <v>6.038276923076922</v>
      </c>
      <c r="J81" s="56"/>
    </row>
    <row r="82" spans="1:10" ht="12">
      <c r="A82" s="64"/>
      <c r="B82" s="64"/>
      <c r="C82" s="64"/>
      <c r="D82" s="64"/>
      <c r="E82" s="65"/>
      <c r="F82" s="64"/>
      <c r="G82" s="64"/>
      <c r="H82" s="64"/>
      <c r="I82" s="85"/>
      <c r="J82" s="56"/>
    </row>
    <row r="83" spans="1:10" ht="12">
      <c r="A83" s="64" t="s">
        <v>37</v>
      </c>
      <c r="B83" s="64"/>
      <c r="C83" s="64"/>
      <c r="D83" s="64"/>
      <c r="E83" s="65"/>
      <c r="F83" s="64"/>
      <c r="G83" s="64"/>
      <c r="H83" s="64"/>
      <c r="I83" s="85">
        <f>I7-I80</f>
        <v>92.52400000000011</v>
      </c>
      <c r="J83" s="56"/>
    </row>
    <row r="84" spans="1:10" ht="12">
      <c r="A84" s="59"/>
      <c r="B84" s="59"/>
      <c r="C84" s="59"/>
      <c r="D84" s="59"/>
      <c r="E84" s="60"/>
      <c r="F84" s="59"/>
      <c r="G84" s="59"/>
      <c r="H84" s="59"/>
      <c r="I84" s="61"/>
      <c r="J84" s="62"/>
    </row>
    <row r="85" spans="1:10" ht="12">
      <c r="A85" s="67" t="s">
        <v>87</v>
      </c>
      <c r="B85" s="67"/>
      <c r="C85" s="67"/>
      <c r="D85" s="67"/>
      <c r="E85" s="72"/>
      <c r="F85" s="67"/>
      <c r="G85" s="67"/>
      <c r="H85" s="67"/>
      <c r="I85" s="67"/>
      <c r="J85" s="105"/>
    </row>
    <row r="86" spans="1:10" ht="12">
      <c r="A86" s="238" t="s">
        <v>45</v>
      </c>
      <c r="B86" s="238"/>
      <c r="C86" s="238"/>
      <c r="D86" s="238"/>
      <c r="E86" s="238"/>
      <c r="F86" s="238"/>
      <c r="G86" s="238"/>
      <c r="H86" s="238"/>
      <c r="I86" s="238"/>
      <c r="J86" s="93"/>
    </row>
    <row r="87" spans="1:10" ht="12">
      <c r="A87" s="238"/>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238"/>
      <c r="B90" s="238"/>
      <c r="C90" s="238"/>
      <c r="D90" s="238"/>
      <c r="E90" s="238"/>
      <c r="F90" s="238"/>
      <c r="G90" s="238"/>
      <c r="H90" s="238"/>
      <c r="I90" s="238"/>
      <c r="J90" s="93"/>
    </row>
    <row r="91" spans="1:10" ht="12">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
      <c r="A93" s="64"/>
      <c r="B93" s="64"/>
      <c r="C93" s="108">
        <v>0.1</v>
      </c>
      <c r="D93" s="64"/>
      <c r="E93" s="65"/>
      <c r="F93" s="64"/>
      <c r="G93" s="108">
        <v>0.1</v>
      </c>
      <c r="H93" s="64"/>
      <c r="I93" s="64"/>
      <c r="J93" s="93"/>
    </row>
    <row r="94" spans="1:10" ht="12">
      <c r="A94" s="64"/>
      <c r="B94" s="64"/>
      <c r="C94" s="109"/>
      <c r="D94" s="59"/>
      <c r="E94" s="58" t="s">
        <v>53</v>
      </c>
      <c r="F94" s="59"/>
      <c r="G94" s="109"/>
      <c r="H94" s="64"/>
      <c r="I94" s="64"/>
      <c r="J94" s="93"/>
    </row>
    <row r="95" spans="1:10" ht="12">
      <c r="A95" s="110" t="s">
        <v>49</v>
      </c>
      <c r="B95" s="64"/>
      <c r="C95" s="111">
        <f>E95*(1-C93)</f>
        <v>117</v>
      </c>
      <c r="D95" s="112"/>
      <c r="E95" s="113">
        <f>C7</f>
        <v>130</v>
      </c>
      <c r="F95" s="112"/>
      <c r="G95" s="114">
        <f>E95*(1+G93)</f>
        <v>143</v>
      </c>
      <c r="H95" s="64"/>
      <c r="I95" s="64"/>
      <c r="J95" s="93"/>
    </row>
    <row r="96" spans="1:10" ht="4.5" customHeight="1">
      <c r="A96" s="64"/>
      <c r="B96" s="64"/>
      <c r="C96" s="64"/>
      <c r="D96" s="64"/>
      <c r="E96" s="65"/>
      <c r="F96" s="64"/>
      <c r="G96" s="64"/>
      <c r="H96" s="64"/>
      <c r="I96" s="64"/>
      <c r="J96" s="93"/>
    </row>
    <row r="97" spans="1:10" ht="12">
      <c r="A97" s="64" t="s">
        <v>57</v>
      </c>
      <c r="B97" s="64"/>
      <c r="C97" s="115">
        <f>$I$63/C95</f>
        <v>3.8374017094017083</v>
      </c>
      <c r="D97" s="64"/>
      <c r="E97" s="115">
        <f>$I$63/E95</f>
        <v>3.4536615384615375</v>
      </c>
      <c r="F97" s="64"/>
      <c r="G97" s="115">
        <f>$I$63/G95</f>
        <v>3.139692307692307</v>
      </c>
      <c r="H97" s="64"/>
      <c r="I97" s="64"/>
      <c r="J97" s="93"/>
    </row>
    <row r="98" spans="1:10" ht="4.5" customHeight="1">
      <c r="A98" s="64"/>
      <c r="B98" s="64"/>
      <c r="C98" s="64"/>
      <c r="D98" s="64"/>
      <c r="E98" s="65"/>
      <c r="F98" s="64"/>
      <c r="G98" s="64"/>
      <c r="H98" s="64"/>
      <c r="I98" s="64"/>
      <c r="J98" s="93"/>
    </row>
    <row r="99" spans="1:10" ht="12">
      <c r="A99" s="64" t="s">
        <v>58</v>
      </c>
      <c r="B99" s="64"/>
      <c r="C99" s="115">
        <f>$I$77/C95</f>
        <v>2.871794871794872</v>
      </c>
      <c r="D99" s="64"/>
      <c r="E99" s="115">
        <f>$I$77/E95</f>
        <v>2.5846153846153848</v>
      </c>
      <c r="F99" s="64"/>
      <c r="G99" s="115">
        <f>$I$77/G95</f>
        <v>2.3496503496503496</v>
      </c>
      <c r="H99" s="64"/>
      <c r="I99" s="64"/>
      <c r="J99" s="93"/>
    </row>
    <row r="100" spans="1:10" ht="3.75" customHeight="1">
      <c r="A100" s="64"/>
      <c r="B100" s="64"/>
      <c r="C100" s="64"/>
      <c r="D100" s="64"/>
      <c r="E100" s="65"/>
      <c r="F100" s="64"/>
      <c r="G100" s="64"/>
      <c r="H100" s="64"/>
      <c r="I100" s="64"/>
      <c r="J100" s="93"/>
    </row>
    <row r="101" spans="1:10" ht="12">
      <c r="A101" s="64" t="s">
        <v>59</v>
      </c>
      <c r="B101" s="64"/>
      <c r="C101" s="115">
        <f>$I$80/C95</f>
        <v>6.70919658119658</v>
      </c>
      <c r="D101" s="64"/>
      <c r="E101" s="115">
        <f>$I$80/E95</f>
        <v>6.038276923076922</v>
      </c>
      <c r="F101" s="64"/>
      <c r="G101" s="115">
        <f>$I$80/G95</f>
        <v>5.4893426573426565</v>
      </c>
      <c r="H101" s="64"/>
      <c r="I101" s="64"/>
      <c r="J101" s="93"/>
    </row>
    <row r="102" spans="1:10" ht="5.25" customHeight="1">
      <c r="A102" s="67"/>
      <c r="B102" s="67"/>
      <c r="C102" s="67"/>
      <c r="D102" s="67"/>
      <c r="E102" s="72"/>
      <c r="F102" s="67"/>
      <c r="G102" s="67"/>
      <c r="H102" s="67"/>
      <c r="I102" s="67"/>
      <c r="J102" s="93"/>
    </row>
    <row r="103" spans="1:10" ht="12">
      <c r="A103" s="64"/>
      <c r="B103" s="64"/>
      <c r="C103" s="64"/>
      <c r="D103" s="64"/>
      <c r="E103" s="65"/>
      <c r="F103" s="64"/>
      <c r="G103" s="64"/>
      <c r="H103" s="64"/>
      <c r="I103" s="64"/>
      <c r="J103" s="93"/>
    </row>
    <row r="104" spans="1:10" ht="12">
      <c r="A104" s="64"/>
      <c r="B104" s="64"/>
      <c r="C104" s="59"/>
      <c r="D104" s="59"/>
      <c r="E104" s="60" t="s">
        <v>49</v>
      </c>
      <c r="F104" s="59"/>
      <c r="G104" s="59"/>
      <c r="H104" s="64"/>
      <c r="I104" s="64"/>
      <c r="J104" s="93"/>
    </row>
    <row r="105" spans="1:10" ht="12">
      <c r="A105" s="110" t="s">
        <v>53</v>
      </c>
      <c r="B105" s="64"/>
      <c r="C105" s="116">
        <f>E105*(1-C93)</f>
        <v>6.075</v>
      </c>
      <c r="D105" s="112"/>
      <c r="E105" s="117">
        <f>G7</f>
        <v>6.75</v>
      </c>
      <c r="F105" s="112"/>
      <c r="G105" s="116">
        <f>E105*(1+G93)</f>
        <v>7.425000000000001</v>
      </c>
      <c r="H105" s="64"/>
      <c r="I105" s="64"/>
      <c r="J105" s="93"/>
    </row>
    <row r="106" spans="1:10" ht="4.5" customHeight="1">
      <c r="A106" s="64"/>
      <c r="B106" s="64"/>
      <c r="C106" s="64"/>
      <c r="D106" s="64"/>
      <c r="E106" s="65"/>
      <c r="F106" s="64"/>
      <c r="G106" s="64"/>
      <c r="H106" s="64"/>
      <c r="I106" s="64"/>
      <c r="J106" s="93"/>
    </row>
    <row r="107" spans="1:10" ht="12">
      <c r="A107" s="64" t="s">
        <v>57</v>
      </c>
      <c r="B107" s="64"/>
      <c r="C107" s="118">
        <f>$I$63/C105</f>
        <v>73.90551440329216</v>
      </c>
      <c r="D107" s="64"/>
      <c r="E107" s="118">
        <f>$I$63/E105</f>
        <v>66.51496296296294</v>
      </c>
      <c r="F107" s="64"/>
      <c r="G107" s="118">
        <f>$I$63/G105</f>
        <v>60.468148148148124</v>
      </c>
      <c r="H107" s="64"/>
      <c r="I107" s="64"/>
      <c r="J107" s="93"/>
    </row>
    <row r="108" spans="1:10" ht="3" customHeight="1">
      <c r="A108" s="64"/>
      <c r="B108" s="64"/>
      <c r="C108" s="64"/>
      <c r="D108" s="64"/>
      <c r="E108" s="65"/>
      <c r="F108" s="64"/>
      <c r="G108" s="64"/>
      <c r="H108" s="64"/>
      <c r="I108" s="64"/>
      <c r="J108" s="93"/>
    </row>
    <row r="109" spans="1:10" ht="12">
      <c r="A109" s="64" t="s">
        <v>58</v>
      </c>
      <c r="B109" s="64"/>
      <c r="C109" s="118">
        <f>$I$77/C105</f>
        <v>55.30864197530864</v>
      </c>
      <c r="D109" s="64"/>
      <c r="E109" s="118">
        <f>$I$77/E105</f>
        <v>49.77777777777778</v>
      </c>
      <c r="F109" s="64"/>
      <c r="G109" s="118">
        <f>$I$77/G105</f>
        <v>45.252525252525245</v>
      </c>
      <c r="H109" s="64"/>
      <c r="I109" s="64"/>
      <c r="J109" s="93"/>
    </row>
    <row r="110" spans="1:10" ht="3.75" customHeight="1">
      <c r="A110" s="64"/>
      <c r="B110" s="64"/>
      <c r="C110" s="64"/>
      <c r="D110" s="64"/>
      <c r="E110" s="65"/>
      <c r="F110" s="64"/>
      <c r="G110" s="64"/>
      <c r="H110" s="64"/>
      <c r="I110" s="64"/>
      <c r="J110" s="93"/>
    </row>
    <row r="111" spans="1:10" ht="12">
      <c r="A111" s="64" t="s">
        <v>59</v>
      </c>
      <c r="B111" s="64"/>
      <c r="C111" s="118">
        <f>$I$80/C105</f>
        <v>129.2141563786008</v>
      </c>
      <c r="D111" s="64"/>
      <c r="E111" s="118">
        <f>$I$80/E105</f>
        <v>116.29274074074073</v>
      </c>
      <c r="F111" s="64"/>
      <c r="G111" s="118">
        <f>$I$80/G105</f>
        <v>105.72067340067338</v>
      </c>
      <c r="H111" s="64"/>
      <c r="I111" s="64"/>
      <c r="J111" s="93"/>
    </row>
    <row r="112" spans="1:10" ht="5.25" customHeight="1">
      <c r="A112" s="64"/>
      <c r="B112" s="64"/>
      <c r="C112" s="64"/>
      <c r="D112" s="64"/>
      <c r="E112" s="65"/>
      <c r="F112" s="64"/>
      <c r="G112" s="64"/>
      <c r="H112" s="64"/>
      <c r="I112" s="64"/>
      <c r="J112" s="93"/>
    </row>
    <row r="113" spans="1:10" ht="12">
      <c r="A113" s="59"/>
      <c r="B113" s="59"/>
      <c r="C113" s="59"/>
      <c r="D113" s="59"/>
      <c r="E113" s="60"/>
      <c r="F113" s="59"/>
      <c r="G113" s="59"/>
      <c r="H113" s="59"/>
      <c r="I113" s="59"/>
      <c r="J113" s="93"/>
    </row>
    <row r="114" spans="1:10" ht="12">
      <c r="A114" s="64"/>
      <c r="B114" s="64"/>
      <c r="C114" s="64"/>
      <c r="D114" s="64"/>
      <c r="E114" s="65"/>
      <c r="F114" s="64"/>
      <c r="G114" s="64"/>
      <c r="H114" s="64"/>
      <c r="I114" s="64"/>
      <c r="J114" s="93"/>
    </row>
    <row r="115" spans="1:10" ht="12">
      <c r="A115" s="119" t="s">
        <v>62</v>
      </c>
      <c r="B115" s="64"/>
      <c r="C115" s="237"/>
      <c r="D115" s="237"/>
      <c r="E115" s="237"/>
      <c r="F115" s="64"/>
      <c r="G115" s="64"/>
      <c r="H115" s="64"/>
      <c r="I115" s="64"/>
      <c r="J115" s="93"/>
    </row>
    <row r="116" spans="1:10" ht="12">
      <c r="A116" s="119" t="s">
        <v>60</v>
      </c>
      <c r="B116" s="64"/>
      <c r="C116" s="237"/>
      <c r="D116" s="237"/>
      <c r="E116" s="237"/>
      <c r="F116" s="237"/>
      <c r="G116" s="237"/>
      <c r="H116" s="64"/>
      <c r="I116" s="64"/>
      <c r="J116" s="93"/>
    </row>
    <row r="117" spans="1:10" ht="12">
      <c r="A117" s="119" t="s">
        <v>61</v>
      </c>
      <c r="B117" s="64"/>
      <c r="C117" s="237"/>
      <c r="D117" s="237"/>
      <c r="E117" s="237"/>
      <c r="F117" s="237"/>
      <c r="G117" s="237"/>
      <c r="H117" s="64"/>
      <c r="I117" s="64"/>
      <c r="J117" s="93"/>
    </row>
    <row r="118" spans="1:10" ht="12">
      <c r="A118" s="64"/>
      <c r="B118" s="64"/>
      <c r="C118" s="237"/>
      <c r="D118" s="237"/>
      <c r="E118" s="237"/>
      <c r="F118" s="237"/>
      <c r="G118" s="237"/>
      <c r="H118" s="64"/>
      <c r="I118" s="64"/>
      <c r="J118" s="93"/>
    </row>
    <row r="119" spans="1:10" ht="12">
      <c r="A119" s="64"/>
      <c r="B119" s="64"/>
      <c r="C119" s="237"/>
      <c r="D119" s="237"/>
      <c r="E119" s="237"/>
      <c r="F119" s="237"/>
      <c r="G119" s="237"/>
      <c r="H119" s="64"/>
      <c r="I119" s="64"/>
      <c r="J119" s="93"/>
    </row>
    <row r="120" spans="1:10" ht="12">
      <c r="A120" s="64"/>
      <c r="B120" s="64"/>
      <c r="C120" s="64"/>
      <c r="D120" s="64"/>
      <c r="E120" s="65"/>
      <c r="F120" s="64"/>
      <c r="G120" s="64"/>
      <c r="H120" s="64"/>
      <c r="I120" s="64"/>
      <c r="J120" s="93"/>
    </row>
  </sheetData>
  <sheetProtection/>
  <mergeCells count="23">
    <mergeCell ref="C116:G116"/>
    <mergeCell ref="C117:G117"/>
    <mergeCell ref="C118:G118"/>
    <mergeCell ref="C119:G119"/>
    <mergeCell ref="A74:C74"/>
    <mergeCell ref="D74:H74"/>
    <mergeCell ref="A75:C75"/>
    <mergeCell ref="D75:H75"/>
    <mergeCell ref="A86:I90"/>
    <mergeCell ref="C115:E115"/>
    <mergeCell ref="A70:C70"/>
    <mergeCell ref="D70:H70"/>
    <mergeCell ref="A71:C71"/>
    <mergeCell ref="D71:H71"/>
    <mergeCell ref="A72:C72"/>
    <mergeCell ref="A73:C73"/>
    <mergeCell ref="D73:H73"/>
    <mergeCell ref="A1:J1"/>
    <mergeCell ref="L7:P7"/>
    <mergeCell ref="L8:Q8"/>
    <mergeCell ref="B61:G61"/>
    <mergeCell ref="A69:C69"/>
    <mergeCell ref="D69:H69"/>
  </mergeCells>
  <printOptions/>
  <pageMargins left="1.25" right="0.75" top="0.5" bottom="0.5" header="0.5" footer="0.5"/>
  <pageSetup horizontalDpi="600" verticalDpi="600" orientation="portrait" scale="85" r:id="rId1"/>
  <headerFooter alignWithMargins="0">
    <oddFooter>&amp;L&amp;A&amp;CUniversity of Idaho&amp;RAERS Dept
</oddFooter>
  </headerFooter>
  <rowBreaks count="1" manualBreakCount="1">
    <brk id="67" max="255" man="1"/>
  </rowBreaks>
</worksheet>
</file>

<file path=xl/worksheets/sheet16.xml><?xml version="1.0" encoding="utf-8"?>
<worksheet xmlns="http://schemas.openxmlformats.org/spreadsheetml/2006/main" xmlns:r="http://schemas.openxmlformats.org/officeDocument/2006/relationships">
  <dimension ref="A1:Q121"/>
  <sheetViews>
    <sheetView zoomScalePageLayoutView="0" workbookViewId="0" topLeftCell="A1">
      <selection activeCell="L1" sqref="L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0.140625" style="36" bestFit="1" customWidth="1"/>
    <col min="13" max="16384" width="9.140625" style="36" customWidth="1"/>
  </cols>
  <sheetData>
    <row r="1" spans="1:12" ht="33.75" customHeight="1">
      <c r="A1" s="230" t="s">
        <v>413</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66" t="s">
        <v>67</v>
      </c>
      <c r="B7" s="67"/>
      <c r="C7" s="66">
        <v>7.5</v>
      </c>
      <c r="D7" s="67"/>
      <c r="E7" s="122" t="s">
        <v>64</v>
      </c>
      <c r="F7" s="67"/>
      <c r="G7" s="69">
        <v>175</v>
      </c>
      <c r="H7" s="67"/>
      <c r="I7" s="70">
        <f>C7*G7</f>
        <v>1312.5</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0</v>
      </c>
      <c r="J11" s="56"/>
    </row>
    <row r="12" spans="1:10" ht="12">
      <c r="A12" s="78"/>
      <c r="B12" s="64"/>
      <c r="C12" s="79"/>
      <c r="D12" s="64"/>
      <c r="E12" s="80"/>
      <c r="F12" s="64"/>
      <c r="G12" s="81"/>
      <c r="H12" s="64"/>
      <c r="I12" s="75">
        <f>C12*G12</f>
        <v>0</v>
      </c>
      <c r="J12" s="56"/>
    </row>
    <row r="13" spans="1:10" ht="12">
      <c r="A13" s="79"/>
      <c r="B13" s="64"/>
      <c r="C13" s="79"/>
      <c r="D13" s="64"/>
      <c r="E13" s="80"/>
      <c r="F13" s="64"/>
      <c r="G13" s="163"/>
      <c r="H13" s="64"/>
      <c r="I13" s="75">
        <f>C13*G13</f>
        <v>0</v>
      </c>
      <c r="J13" s="56"/>
    </row>
    <row r="14" spans="1:10" ht="7.5" customHeight="1">
      <c r="A14" s="64"/>
      <c r="B14" s="64"/>
      <c r="C14" s="64"/>
      <c r="D14" s="64"/>
      <c r="E14" s="65"/>
      <c r="F14" s="64"/>
      <c r="G14" s="99"/>
      <c r="H14" s="64"/>
      <c r="I14" s="75"/>
      <c r="J14" s="56"/>
    </row>
    <row r="15" spans="1:10" ht="12.75">
      <c r="A15" s="76" t="s">
        <v>12</v>
      </c>
      <c r="B15" s="64"/>
      <c r="C15" s="64"/>
      <c r="D15" s="64"/>
      <c r="E15" s="65"/>
      <c r="F15" s="64"/>
      <c r="G15" s="99"/>
      <c r="H15" s="64"/>
      <c r="I15" s="77">
        <f>SUM(I16:I21)</f>
        <v>99.65</v>
      </c>
      <c r="J15" s="56"/>
    </row>
    <row r="16" spans="1:10" ht="12">
      <c r="A16" s="79" t="s">
        <v>72</v>
      </c>
      <c r="B16" s="64"/>
      <c r="C16" s="79">
        <v>75</v>
      </c>
      <c r="D16" s="64"/>
      <c r="E16" s="80" t="s">
        <v>38</v>
      </c>
      <c r="F16" s="64"/>
      <c r="G16" s="91">
        <v>0.53</v>
      </c>
      <c r="H16" s="64"/>
      <c r="I16" s="75">
        <f aca="true" t="shared" si="0" ref="I16:I21">C16*G16</f>
        <v>39.75</v>
      </c>
      <c r="J16" s="56"/>
    </row>
    <row r="17" spans="1:10" ht="12">
      <c r="A17" s="78" t="s">
        <v>74</v>
      </c>
      <c r="B17" s="64"/>
      <c r="C17" s="79">
        <v>15</v>
      </c>
      <c r="D17" s="64"/>
      <c r="E17" s="89" t="s">
        <v>38</v>
      </c>
      <c r="F17" s="64"/>
      <c r="G17" s="91">
        <f>DN</f>
        <v>0.66</v>
      </c>
      <c r="H17" s="64"/>
      <c r="I17" s="75">
        <f t="shared" si="0"/>
        <v>9.9</v>
      </c>
      <c r="J17" s="56"/>
    </row>
    <row r="18" spans="1:10" ht="12">
      <c r="A18" s="78" t="s">
        <v>13</v>
      </c>
      <c r="B18" s="64"/>
      <c r="C18" s="79">
        <v>80</v>
      </c>
      <c r="D18" s="64"/>
      <c r="E18" s="89" t="s">
        <v>38</v>
      </c>
      <c r="F18" s="64"/>
      <c r="G18" s="91">
        <f>K</f>
        <v>0.5</v>
      </c>
      <c r="H18" s="64"/>
      <c r="I18" s="85">
        <f t="shared" si="0"/>
        <v>40</v>
      </c>
      <c r="J18" s="56"/>
    </row>
    <row r="19" spans="1:10" ht="12">
      <c r="A19" s="78" t="s">
        <v>14</v>
      </c>
      <c r="B19" s="64"/>
      <c r="C19" s="79">
        <v>40</v>
      </c>
      <c r="D19" s="64"/>
      <c r="E19" s="89" t="s">
        <v>38</v>
      </c>
      <c r="F19" s="64"/>
      <c r="G19" s="91">
        <v>0.25</v>
      </c>
      <c r="H19" s="64"/>
      <c r="I19" s="85">
        <f t="shared" si="0"/>
        <v>10</v>
      </c>
      <c r="J19" s="56"/>
    </row>
    <row r="20" spans="1:10" ht="12">
      <c r="A20" s="79"/>
      <c r="B20" s="64"/>
      <c r="C20" s="79"/>
      <c r="D20" s="64"/>
      <c r="E20" s="80"/>
      <c r="F20" s="64"/>
      <c r="G20" s="81"/>
      <c r="H20" s="64"/>
      <c r="I20" s="85">
        <f t="shared" si="0"/>
        <v>0</v>
      </c>
      <c r="J20" s="56"/>
    </row>
    <row r="21" spans="2:10" ht="12">
      <c r="B21" s="64"/>
      <c r="C21" s="79"/>
      <c r="D21" s="64"/>
      <c r="E21" s="80"/>
      <c r="F21" s="64"/>
      <c r="G21" s="163"/>
      <c r="H21" s="64"/>
      <c r="I21" s="85">
        <f t="shared" si="0"/>
        <v>0</v>
      </c>
      <c r="J21" s="56"/>
    </row>
    <row r="22" spans="1:10" ht="12">
      <c r="A22" s="64"/>
      <c r="B22" s="64"/>
      <c r="C22" s="64"/>
      <c r="D22" s="64"/>
      <c r="E22" s="65"/>
      <c r="F22" s="64"/>
      <c r="G22" s="99"/>
      <c r="H22" s="64"/>
      <c r="I22" s="85"/>
      <c r="J22" s="56"/>
    </row>
    <row r="23" spans="1:10" ht="12.75">
      <c r="A23" s="76" t="s">
        <v>17</v>
      </c>
      <c r="B23" s="64"/>
      <c r="C23" s="64"/>
      <c r="D23" s="64"/>
      <c r="E23" s="65"/>
      <c r="F23" s="64"/>
      <c r="G23" s="99"/>
      <c r="H23" s="64"/>
      <c r="I23" s="86">
        <f>SUM(I24:I28)</f>
        <v>50.400000000000006</v>
      </c>
      <c r="J23" s="56"/>
    </row>
    <row r="24" spans="1:10" ht="12">
      <c r="A24" s="88" t="s">
        <v>85</v>
      </c>
      <c r="B24" s="64"/>
      <c r="C24" s="79">
        <v>1</v>
      </c>
      <c r="D24" s="64"/>
      <c r="E24" s="80" t="s">
        <v>133</v>
      </c>
      <c r="F24" s="64"/>
      <c r="G24" s="91">
        <f>Furadan</f>
        <v>20.1</v>
      </c>
      <c r="H24" s="64"/>
      <c r="I24" s="85">
        <f>C24*G24</f>
        <v>20.1</v>
      </c>
      <c r="J24" s="56"/>
    </row>
    <row r="25" spans="1:10" ht="12">
      <c r="A25" s="83" t="s">
        <v>254</v>
      </c>
      <c r="B25" s="64"/>
      <c r="C25" s="164">
        <v>2</v>
      </c>
      <c r="D25" s="64"/>
      <c r="E25" s="80" t="s">
        <v>38</v>
      </c>
      <c r="F25" s="64"/>
      <c r="G25" s="91">
        <f>Velpar</f>
        <v>15.15</v>
      </c>
      <c r="H25" s="64"/>
      <c r="I25" s="85">
        <f>C25*G25</f>
        <v>30.3</v>
      </c>
      <c r="J25" s="56"/>
    </row>
    <row r="26" spans="1:10" ht="12">
      <c r="A26" s="79"/>
      <c r="B26" s="64"/>
      <c r="C26" s="87"/>
      <c r="D26" s="64"/>
      <c r="E26" s="80"/>
      <c r="F26" s="64"/>
      <c r="G26" s="81"/>
      <c r="H26" s="64"/>
      <c r="I26" s="85">
        <f>C26*G26</f>
        <v>0</v>
      </c>
      <c r="J26" s="56"/>
    </row>
    <row r="27" spans="1:10" ht="12">
      <c r="A27" s="79"/>
      <c r="B27" s="64"/>
      <c r="C27" s="79"/>
      <c r="D27" s="64"/>
      <c r="E27" s="80"/>
      <c r="F27" s="64"/>
      <c r="G27" s="81"/>
      <c r="H27" s="64"/>
      <c r="I27" s="85">
        <f>C27*G27</f>
        <v>0</v>
      </c>
      <c r="J27" s="56"/>
    </row>
    <row r="28" spans="1:10" ht="12">
      <c r="A28" s="79"/>
      <c r="B28" s="64"/>
      <c r="C28" s="79"/>
      <c r="D28" s="64"/>
      <c r="E28" s="80"/>
      <c r="F28" s="64"/>
      <c r="G28" s="81"/>
      <c r="H28" s="64"/>
      <c r="I28" s="85">
        <f>C28*G28</f>
        <v>0</v>
      </c>
      <c r="J28" s="56"/>
    </row>
    <row r="29" spans="1:10" ht="5.25" customHeight="1">
      <c r="A29" s="64"/>
      <c r="B29" s="64"/>
      <c r="C29" s="64"/>
      <c r="D29" s="64"/>
      <c r="E29" s="65"/>
      <c r="F29" s="64"/>
      <c r="G29" s="74"/>
      <c r="H29" s="64"/>
      <c r="I29" s="85"/>
      <c r="J29" s="56"/>
    </row>
    <row r="30" spans="1:10" ht="12.75">
      <c r="A30" s="76" t="s">
        <v>43</v>
      </c>
      <c r="B30" s="64"/>
      <c r="C30" s="64"/>
      <c r="D30" s="64"/>
      <c r="E30" s="65"/>
      <c r="F30" s="64"/>
      <c r="G30" s="74"/>
      <c r="H30" s="64"/>
      <c r="I30" s="86">
        <f>SUM(I31:I35)</f>
        <v>322.5</v>
      </c>
      <c r="J30" s="56"/>
    </row>
    <row r="31" spans="1:10" ht="12">
      <c r="A31" s="79" t="s">
        <v>18</v>
      </c>
      <c r="B31" s="64"/>
      <c r="C31" s="79">
        <v>1</v>
      </c>
      <c r="D31" s="64"/>
      <c r="E31" s="80" t="s">
        <v>39</v>
      </c>
      <c r="F31" s="64"/>
      <c r="G31" s="91">
        <v>8</v>
      </c>
      <c r="H31" s="64"/>
      <c r="I31" s="85">
        <f>C31*G31</f>
        <v>8</v>
      </c>
      <c r="J31" s="56"/>
    </row>
    <row r="32" spans="1:10" ht="12">
      <c r="A32" s="102" t="s">
        <v>148</v>
      </c>
      <c r="B32" s="64"/>
      <c r="C32" s="36">
        <v>4</v>
      </c>
      <c r="D32" s="64"/>
      <c r="E32" s="120" t="s">
        <v>39</v>
      </c>
      <c r="F32" s="64"/>
      <c r="G32" s="91">
        <f>CSR</f>
        <v>28</v>
      </c>
      <c r="H32" s="64"/>
      <c r="I32" s="85">
        <f>C32*G32</f>
        <v>112</v>
      </c>
      <c r="J32" s="56"/>
    </row>
    <row r="33" spans="1:10" ht="12">
      <c r="A33" s="88" t="s">
        <v>68</v>
      </c>
      <c r="B33" s="64"/>
      <c r="C33" s="79">
        <v>7.5</v>
      </c>
      <c r="D33" s="64"/>
      <c r="E33" s="80" t="s">
        <v>64</v>
      </c>
      <c r="F33" s="64"/>
      <c r="G33" s="91">
        <v>18</v>
      </c>
      <c r="H33" s="64"/>
      <c r="I33" s="85">
        <f>C33*G33</f>
        <v>135</v>
      </c>
      <c r="J33" s="56"/>
    </row>
    <row r="34" spans="1:10" ht="12">
      <c r="A34" s="88" t="s">
        <v>69</v>
      </c>
      <c r="B34" s="64"/>
      <c r="C34" s="79">
        <v>7.5</v>
      </c>
      <c r="D34" s="64"/>
      <c r="E34" s="80" t="s">
        <v>64</v>
      </c>
      <c r="F34" s="64"/>
      <c r="G34" s="91">
        <f>CustomStack</f>
        <v>9</v>
      </c>
      <c r="H34" s="64"/>
      <c r="I34" s="85">
        <f>C34*G34</f>
        <v>67.5</v>
      </c>
      <c r="J34" s="56"/>
    </row>
    <row r="35" spans="1:10" ht="12">
      <c r="A35" s="79"/>
      <c r="B35" s="64"/>
      <c r="C35" s="79"/>
      <c r="D35" s="64"/>
      <c r="E35" s="80"/>
      <c r="F35" s="64"/>
      <c r="G35" s="81"/>
      <c r="H35" s="64"/>
      <c r="I35" s="85">
        <f>C35*G35</f>
        <v>0</v>
      </c>
      <c r="J35" s="56"/>
    </row>
    <row r="36" spans="1:10" ht="12">
      <c r="A36" s="64"/>
      <c r="B36" s="64"/>
      <c r="C36" s="64"/>
      <c r="D36" s="64"/>
      <c r="E36" s="65"/>
      <c r="F36" s="64"/>
      <c r="G36" s="99"/>
      <c r="H36" s="64"/>
      <c r="I36" s="85"/>
      <c r="J36" s="56"/>
    </row>
    <row r="37" spans="1:10" ht="12.75">
      <c r="A37" s="76" t="s">
        <v>22</v>
      </c>
      <c r="B37" s="64"/>
      <c r="C37" s="64"/>
      <c r="D37" s="64"/>
      <c r="E37" s="65"/>
      <c r="F37" s="64"/>
      <c r="G37" s="99"/>
      <c r="H37" s="64"/>
      <c r="I37" s="86">
        <f>SUM(I38:I40)</f>
        <v>51.6</v>
      </c>
      <c r="J37" s="56"/>
    </row>
    <row r="38" spans="1:10" ht="12">
      <c r="A38" s="79" t="s">
        <v>21</v>
      </c>
      <c r="B38" s="64"/>
      <c r="C38" s="79">
        <v>1</v>
      </c>
      <c r="D38" s="64"/>
      <c r="E38" s="80" t="s">
        <v>39</v>
      </c>
      <c r="F38" s="64"/>
      <c r="G38" s="91">
        <f>WaterA</f>
        <v>48.85</v>
      </c>
      <c r="H38" s="64"/>
      <c r="I38" s="85">
        <f>C38*G38</f>
        <v>48.85</v>
      </c>
      <c r="J38" s="56"/>
    </row>
    <row r="39" spans="1:10" ht="12">
      <c r="A39" s="79" t="s">
        <v>96</v>
      </c>
      <c r="B39" s="64"/>
      <c r="C39" s="79">
        <v>1</v>
      </c>
      <c r="D39" s="64"/>
      <c r="E39" s="80" t="s">
        <v>39</v>
      </c>
      <c r="F39" s="64"/>
      <c r="G39" s="91">
        <f>IrrigationR</f>
        <v>2.75</v>
      </c>
      <c r="H39" s="64"/>
      <c r="I39" s="85">
        <f>C39*G39</f>
        <v>2.75</v>
      </c>
      <c r="J39" s="56"/>
    </row>
    <row r="40" spans="1:10" ht="12">
      <c r="A40" s="79"/>
      <c r="B40" s="64"/>
      <c r="C40" s="79"/>
      <c r="D40" s="64"/>
      <c r="E40" s="80"/>
      <c r="F40" s="64"/>
      <c r="G40" s="81"/>
      <c r="H40" s="64"/>
      <c r="I40" s="85">
        <f>C40*G40</f>
        <v>0</v>
      </c>
      <c r="J40" s="56"/>
    </row>
    <row r="41" spans="1:10" ht="5.25" customHeight="1">
      <c r="A41" s="64"/>
      <c r="B41" s="64"/>
      <c r="C41" s="64"/>
      <c r="D41" s="64"/>
      <c r="E41" s="65"/>
      <c r="F41" s="64"/>
      <c r="G41" s="99"/>
      <c r="H41" s="64"/>
      <c r="I41" s="85"/>
      <c r="J41" s="56"/>
    </row>
    <row r="42" spans="1:10" ht="12.75">
      <c r="A42" s="76" t="s">
        <v>149</v>
      </c>
      <c r="B42" s="64"/>
      <c r="C42" s="93"/>
      <c r="D42" s="64"/>
      <c r="E42" s="65"/>
      <c r="F42" s="64"/>
      <c r="G42" s="99"/>
      <c r="H42" s="64"/>
      <c r="I42" s="86">
        <f>SUM(I43:I47)</f>
        <v>17.533</v>
      </c>
      <c r="J42" s="56"/>
    </row>
    <row r="43" spans="1:10" ht="12">
      <c r="A43" s="78" t="s">
        <v>150</v>
      </c>
      <c r="B43" s="64"/>
      <c r="C43" s="79">
        <v>1.27</v>
      </c>
      <c r="D43" s="64"/>
      <c r="E43" s="89" t="s">
        <v>91</v>
      </c>
      <c r="F43" s="64"/>
      <c r="G43" s="91">
        <f>FuelGas</f>
        <v>3.7</v>
      </c>
      <c r="H43" s="64"/>
      <c r="I43" s="85">
        <f>C43*G43</f>
        <v>4.699000000000001</v>
      </c>
      <c r="J43" s="56"/>
    </row>
    <row r="44" spans="1:10" ht="12">
      <c r="A44" s="78" t="s">
        <v>151</v>
      </c>
      <c r="B44" s="64"/>
      <c r="C44" s="79">
        <v>1.84</v>
      </c>
      <c r="D44" s="64"/>
      <c r="E44" s="89" t="s">
        <v>91</v>
      </c>
      <c r="F44" s="64"/>
      <c r="G44" s="91">
        <f>FuelD</f>
        <v>3.6</v>
      </c>
      <c r="H44" s="64"/>
      <c r="I44" s="85">
        <f>C44*G44</f>
        <v>6.6240000000000006</v>
      </c>
      <c r="J44" s="56"/>
    </row>
    <row r="45" spans="1:10" ht="12">
      <c r="A45" s="78" t="s">
        <v>285</v>
      </c>
      <c r="B45" s="64"/>
      <c r="C45" s="79">
        <v>0.5</v>
      </c>
      <c r="D45" s="64"/>
      <c r="E45" s="89" t="s">
        <v>91</v>
      </c>
      <c r="F45" s="64"/>
      <c r="G45" s="91">
        <f>FuelRD</f>
        <v>4.1</v>
      </c>
      <c r="H45" s="64"/>
      <c r="I45" s="85">
        <f>C45*G45</f>
        <v>2.05</v>
      </c>
      <c r="J45" s="56"/>
    </row>
    <row r="46" spans="1:10" ht="12">
      <c r="A46" s="83" t="s">
        <v>152</v>
      </c>
      <c r="B46" s="64"/>
      <c r="C46" s="79">
        <v>1</v>
      </c>
      <c r="D46" s="64"/>
      <c r="E46" s="89" t="s">
        <v>39</v>
      </c>
      <c r="F46" s="64"/>
      <c r="G46" s="91">
        <v>1.98</v>
      </c>
      <c r="H46" s="64"/>
      <c r="I46" s="85">
        <f>C46*G46</f>
        <v>1.98</v>
      </c>
      <c r="J46" s="56"/>
    </row>
    <row r="47" spans="1:10" ht="12">
      <c r="A47" s="83" t="s">
        <v>26</v>
      </c>
      <c r="B47" s="64"/>
      <c r="C47" s="79">
        <v>1</v>
      </c>
      <c r="D47" s="64"/>
      <c r="E47" s="89" t="s">
        <v>39</v>
      </c>
      <c r="F47" s="64"/>
      <c r="G47" s="91">
        <v>2.18</v>
      </c>
      <c r="H47" s="64"/>
      <c r="I47" s="85">
        <f>C47*G47</f>
        <v>2.18</v>
      </c>
      <c r="J47" s="56"/>
    </row>
    <row r="48" spans="1:10" ht="5.25" customHeight="1">
      <c r="A48" s="94"/>
      <c r="B48" s="93"/>
      <c r="C48" s="95"/>
      <c r="D48" s="93"/>
      <c r="E48" s="96"/>
      <c r="F48" s="93"/>
      <c r="G48" s="98"/>
      <c r="H48" s="64"/>
      <c r="I48" s="85"/>
      <c r="J48" s="56"/>
    </row>
    <row r="49" spans="1:10" ht="12.75">
      <c r="A49" s="76" t="s">
        <v>155</v>
      </c>
      <c r="B49" s="64"/>
      <c r="C49" s="93"/>
      <c r="D49" s="64"/>
      <c r="E49" s="65"/>
      <c r="F49" s="64"/>
      <c r="G49" s="99"/>
      <c r="H49" s="64"/>
      <c r="I49" s="86">
        <f>SUM(I50:I52)</f>
        <v>83.1</v>
      </c>
      <c r="J49" s="56"/>
    </row>
    <row r="50" spans="1:10" ht="12">
      <c r="A50" s="78" t="s">
        <v>156</v>
      </c>
      <c r="B50" s="64"/>
      <c r="C50" s="79">
        <v>1.2</v>
      </c>
      <c r="D50" s="64"/>
      <c r="E50" s="89" t="s">
        <v>42</v>
      </c>
      <c r="F50" s="64"/>
      <c r="G50" s="91">
        <f>Labor</f>
        <v>17.8</v>
      </c>
      <c r="H50" s="64"/>
      <c r="I50" s="85">
        <f>C50*G50</f>
        <v>21.36</v>
      </c>
      <c r="J50" s="56"/>
    </row>
    <row r="51" spans="1:10" ht="12">
      <c r="A51" s="78" t="s">
        <v>158</v>
      </c>
      <c r="B51" s="64"/>
      <c r="C51" s="79">
        <v>4.9</v>
      </c>
      <c r="D51" s="64"/>
      <c r="E51" s="80" t="s">
        <v>42</v>
      </c>
      <c r="F51" s="64"/>
      <c r="G51" s="91">
        <f>IrriL</f>
        <v>12.6</v>
      </c>
      <c r="H51" s="64"/>
      <c r="I51" s="85">
        <f>C51*G51</f>
        <v>61.74</v>
      </c>
      <c r="J51" s="56"/>
    </row>
    <row r="52" spans="1:10" ht="12">
      <c r="A52" s="78"/>
      <c r="B52" s="64"/>
      <c r="C52" s="79"/>
      <c r="D52" s="64"/>
      <c r="E52" s="89"/>
      <c r="F52" s="64"/>
      <c r="G52" s="91"/>
      <c r="H52" s="64"/>
      <c r="I52" s="85"/>
      <c r="J52" s="56"/>
    </row>
    <row r="53" spans="1:10" ht="5.25" customHeight="1">
      <c r="A53" s="95"/>
      <c r="B53" s="93"/>
      <c r="C53" s="95"/>
      <c r="D53" s="93"/>
      <c r="E53" s="96"/>
      <c r="F53" s="93"/>
      <c r="G53" s="98"/>
      <c r="H53" s="64"/>
      <c r="I53" s="85"/>
      <c r="J53" s="56"/>
    </row>
    <row r="54" spans="1:10" ht="12.75">
      <c r="A54" s="76" t="s">
        <v>154</v>
      </c>
      <c r="B54" s="64"/>
      <c r="C54" s="93"/>
      <c r="D54" s="64"/>
      <c r="E54" s="65"/>
      <c r="F54" s="64"/>
      <c r="G54" s="99"/>
      <c r="H54" s="64"/>
      <c r="I54" s="86">
        <f>SUM(I55:I56)</f>
        <v>0</v>
      </c>
      <c r="J54" s="56"/>
    </row>
    <row r="55" spans="1:10" ht="12">
      <c r="A55" s="78"/>
      <c r="B55" s="64"/>
      <c r="C55" s="79"/>
      <c r="D55" s="64"/>
      <c r="E55" s="89"/>
      <c r="F55" s="64"/>
      <c r="G55" s="81"/>
      <c r="H55" s="64"/>
      <c r="I55" s="85">
        <f>C55*G55</f>
        <v>0</v>
      </c>
      <c r="J55" s="56"/>
    </row>
    <row r="56" spans="1:10" ht="12">
      <c r="A56" s="78"/>
      <c r="B56" s="64"/>
      <c r="C56" s="79"/>
      <c r="D56" s="64"/>
      <c r="E56" s="80"/>
      <c r="F56" s="64"/>
      <c r="G56" s="81"/>
      <c r="H56" s="64"/>
      <c r="I56" s="85">
        <f>C56*G56</f>
        <v>0</v>
      </c>
      <c r="J56" s="56"/>
    </row>
    <row r="57" spans="1:10" ht="6" customHeight="1">
      <c r="A57" s="94"/>
      <c r="B57" s="93"/>
      <c r="C57" s="95"/>
      <c r="D57" s="93"/>
      <c r="E57" s="96"/>
      <c r="F57" s="93"/>
      <c r="G57" s="100"/>
      <c r="H57" s="64"/>
      <c r="I57" s="85"/>
      <c r="J57" s="56"/>
    </row>
    <row r="58" spans="1:10" ht="12.75">
      <c r="A58" s="76" t="s">
        <v>23</v>
      </c>
      <c r="B58" s="64"/>
      <c r="C58" s="64"/>
      <c r="D58" s="64"/>
      <c r="E58" s="65"/>
      <c r="F58" s="64"/>
      <c r="G58" s="74"/>
      <c r="H58" s="64"/>
      <c r="I58" s="86">
        <f>SUM(I59:I60)</f>
        <v>0</v>
      </c>
      <c r="J58" s="56"/>
    </row>
    <row r="59" spans="1:10" ht="12">
      <c r="A59" s="79"/>
      <c r="B59" s="64"/>
      <c r="C59" s="79"/>
      <c r="D59" s="64"/>
      <c r="E59" s="80"/>
      <c r="F59" s="64"/>
      <c r="G59" s="81"/>
      <c r="H59" s="64"/>
      <c r="I59" s="85"/>
      <c r="J59" s="56"/>
    </row>
    <row r="60" spans="1:10" ht="12">
      <c r="A60" s="79"/>
      <c r="B60" s="64"/>
      <c r="C60" s="79"/>
      <c r="D60" s="64"/>
      <c r="E60" s="80"/>
      <c r="F60" s="64"/>
      <c r="G60" s="81"/>
      <c r="H60" s="64"/>
      <c r="I60" s="85">
        <f>C60*G60</f>
        <v>0</v>
      </c>
      <c r="J60" s="56"/>
    </row>
    <row r="61" spans="1:10" ht="4.5" customHeight="1">
      <c r="A61" s="95"/>
      <c r="B61" s="93"/>
      <c r="C61" s="95"/>
      <c r="D61" s="93"/>
      <c r="E61" s="96"/>
      <c r="F61" s="93"/>
      <c r="G61" s="97"/>
      <c r="H61" s="64"/>
      <c r="I61" s="101"/>
      <c r="J61" s="56"/>
    </row>
    <row r="62" spans="1:10" ht="12">
      <c r="A62" s="102" t="s">
        <v>388</v>
      </c>
      <c r="B62" s="64"/>
      <c r="C62" s="235"/>
      <c r="D62" s="235"/>
      <c r="E62" s="235"/>
      <c r="F62" s="235"/>
      <c r="G62" s="235"/>
      <c r="H62" s="64"/>
      <c r="I62" s="91">
        <v>12.13</v>
      </c>
      <c r="J62" s="56"/>
    </row>
    <row r="63" spans="1:10" ht="5.25" customHeight="1">
      <c r="A63" s="64"/>
      <c r="B63" s="64"/>
      <c r="C63" s="64"/>
      <c r="D63" s="64"/>
      <c r="E63" s="65"/>
      <c r="F63" s="64"/>
      <c r="G63" s="64"/>
      <c r="H63" s="64"/>
      <c r="I63" s="85"/>
      <c r="J63" s="56"/>
    </row>
    <row r="64" spans="1:10" ht="12">
      <c r="A64" s="64" t="s">
        <v>27</v>
      </c>
      <c r="B64" s="64"/>
      <c r="C64" s="64"/>
      <c r="D64" s="64"/>
      <c r="E64" s="65"/>
      <c r="F64" s="64"/>
      <c r="G64" s="64"/>
      <c r="H64" s="64"/>
      <c r="I64" s="85">
        <f>SUM(I11:I62)-(I11+I15+I23+I30+I37+I42+I49+I54+I58)</f>
        <v>636.9129999999999</v>
      </c>
      <c r="J64" s="56"/>
    </row>
    <row r="65" spans="1:10" ht="12">
      <c r="A65" s="64" t="s">
        <v>28</v>
      </c>
      <c r="B65" s="64"/>
      <c r="C65" s="64"/>
      <c r="D65" s="64"/>
      <c r="E65" s="65"/>
      <c r="F65" s="64"/>
      <c r="G65" s="64"/>
      <c r="H65" s="64"/>
      <c r="I65" s="85">
        <f>I64/C7</f>
        <v>84.92173333333332</v>
      </c>
      <c r="J65" s="56"/>
    </row>
    <row r="66" spans="1:10" ht="5.25" customHeight="1">
      <c r="A66" s="64"/>
      <c r="B66" s="64"/>
      <c r="C66" s="64"/>
      <c r="D66" s="64"/>
      <c r="E66" s="65"/>
      <c r="F66" s="64"/>
      <c r="G66" s="64"/>
      <c r="H66" s="64"/>
      <c r="I66" s="85"/>
      <c r="J66" s="56"/>
    </row>
    <row r="67" spans="1:10" ht="12">
      <c r="A67" s="59" t="s">
        <v>29</v>
      </c>
      <c r="B67" s="59"/>
      <c r="C67" s="59"/>
      <c r="D67" s="59"/>
      <c r="E67" s="60"/>
      <c r="F67" s="59"/>
      <c r="G67" s="59"/>
      <c r="H67" s="59"/>
      <c r="I67" s="103">
        <f>I7-I64</f>
        <v>675.5870000000001</v>
      </c>
      <c r="J67" s="56"/>
    </row>
    <row r="68" spans="1:10" ht="5.25" customHeight="1">
      <c r="A68" s="64"/>
      <c r="B68" s="64"/>
      <c r="C68" s="64"/>
      <c r="D68" s="64"/>
      <c r="E68" s="65"/>
      <c r="F68" s="64"/>
      <c r="G68" s="64"/>
      <c r="H68" s="64"/>
      <c r="I68" s="85"/>
      <c r="J68" s="56"/>
    </row>
    <row r="69" spans="1:10" ht="12.75">
      <c r="A69" s="63" t="s">
        <v>30</v>
      </c>
      <c r="B69" s="64"/>
      <c r="C69" s="64"/>
      <c r="D69" s="64"/>
      <c r="E69" s="65"/>
      <c r="F69" s="64"/>
      <c r="G69" s="64"/>
      <c r="H69" s="64"/>
      <c r="I69" s="85"/>
      <c r="J69" s="56"/>
    </row>
    <row r="70" spans="1:10" ht="12">
      <c r="A70" s="234" t="s">
        <v>63</v>
      </c>
      <c r="B70" s="234"/>
      <c r="C70" s="234"/>
      <c r="D70" s="235"/>
      <c r="E70" s="235"/>
      <c r="F70" s="235"/>
      <c r="G70" s="235"/>
      <c r="H70" s="235"/>
      <c r="I70" s="91">
        <v>1.2</v>
      </c>
      <c r="J70" s="56"/>
    </row>
    <row r="71" spans="1:10" ht="12">
      <c r="A71" s="236" t="s">
        <v>352</v>
      </c>
      <c r="B71" s="236"/>
      <c r="C71" s="236"/>
      <c r="D71" s="235"/>
      <c r="E71" s="235"/>
      <c r="F71" s="235"/>
      <c r="G71" s="235"/>
      <c r="H71" s="235"/>
      <c r="I71" s="91">
        <v>18.2</v>
      </c>
      <c r="J71" s="56"/>
    </row>
    <row r="72" spans="1:10" ht="12">
      <c r="A72" s="237" t="s">
        <v>44</v>
      </c>
      <c r="B72" s="237"/>
      <c r="C72" s="237"/>
      <c r="D72" s="235"/>
      <c r="E72" s="235"/>
      <c r="F72" s="235"/>
      <c r="G72" s="235"/>
      <c r="H72" s="235"/>
      <c r="I72" s="91">
        <v>250</v>
      </c>
      <c r="J72" s="56"/>
    </row>
    <row r="73" spans="1:10" ht="12">
      <c r="A73" s="237" t="s">
        <v>31</v>
      </c>
      <c r="B73" s="237"/>
      <c r="C73" s="237"/>
      <c r="D73" s="235"/>
      <c r="E73" s="235"/>
      <c r="F73" s="235"/>
      <c r="G73" s="235"/>
      <c r="H73" s="235"/>
      <c r="I73" s="91">
        <v>16</v>
      </c>
      <c r="J73" s="56"/>
    </row>
    <row r="74" spans="1:10" ht="12">
      <c r="A74" s="237" t="s">
        <v>32</v>
      </c>
      <c r="B74" s="237"/>
      <c r="C74" s="237"/>
      <c r="D74" s="235"/>
      <c r="E74" s="235"/>
      <c r="F74" s="235"/>
      <c r="G74" s="235"/>
      <c r="H74" s="235"/>
      <c r="I74" s="91">
        <v>50</v>
      </c>
      <c r="J74" s="56"/>
    </row>
    <row r="75" spans="1:10" ht="12">
      <c r="A75" s="254" t="s">
        <v>70</v>
      </c>
      <c r="B75" s="254"/>
      <c r="C75" s="254"/>
      <c r="D75" s="235"/>
      <c r="E75" s="235"/>
      <c r="F75" s="235"/>
      <c r="G75" s="235"/>
      <c r="H75" s="235"/>
      <c r="I75" s="91">
        <v>63.31</v>
      </c>
      <c r="J75" s="56"/>
    </row>
    <row r="76" spans="1:10" ht="12">
      <c r="A76" s="237"/>
      <c r="B76" s="237"/>
      <c r="C76" s="237"/>
      <c r="D76" s="235"/>
      <c r="E76" s="235"/>
      <c r="F76" s="235"/>
      <c r="G76" s="235"/>
      <c r="H76" s="235"/>
      <c r="I76" s="91"/>
      <c r="J76" s="56"/>
    </row>
    <row r="77" spans="1:10" ht="5.25" customHeight="1">
      <c r="A77" s="64"/>
      <c r="B77" s="64"/>
      <c r="C77" s="64"/>
      <c r="D77" s="64"/>
      <c r="E77" s="65"/>
      <c r="F77" s="64"/>
      <c r="G77" s="64"/>
      <c r="H77" s="64"/>
      <c r="I77" s="85"/>
      <c r="J77" s="56"/>
    </row>
    <row r="78" spans="1:10" ht="12.75">
      <c r="A78" s="76" t="s">
        <v>33</v>
      </c>
      <c r="B78" s="64"/>
      <c r="C78" s="64"/>
      <c r="D78" s="64"/>
      <c r="E78" s="65"/>
      <c r="F78" s="64"/>
      <c r="G78" s="64"/>
      <c r="H78" s="64"/>
      <c r="I78" s="85">
        <f>SUM(I69:I76)</f>
        <v>398.71</v>
      </c>
      <c r="J78" s="56"/>
    </row>
    <row r="79" spans="1:10" ht="12.75">
      <c r="A79" s="76" t="s">
        <v>34</v>
      </c>
      <c r="B79" s="64"/>
      <c r="C79" s="64"/>
      <c r="D79" s="64"/>
      <c r="E79" s="65"/>
      <c r="F79" s="64"/>
      <c r="G79" s="64"/>
      <c r="H79" s="64"/>
      <c r="I79" s="85">
        <f>I78/C7</f>
        <v>53.16133333333333</v>
      </c>
      <c r="J79" s="56"/>
    </row>
    <row r="80" spans="1:10" ht="12">
      <c r="A80" s="64"/>
      <c r="B80" s="64"/>
      <c r="C80" s="64"/>
      <c r="D80" s="64"/>
      <c r="E80" s="65"/>
      <c r="F80" s="64"/>
      <c r="G80" s="64"/>
      <c r="H80" s="64"/>
      <c r="I80" s="85"/>
      <c r="J80" s="56"/>
    </row>
    <row r="81" spans="1:10" ht="12.75">
      <c r="A81" s="76" t="s">
        <v>35</v>
      </c>
      <c r="B81" s="64"/>
      <c r="C81" s="64"/>
      <c r="D81" s="64"/>
      <c r="E81" s="65"/>
      <c r="F81" s="64"/>
      <c r="G81" s="64"/>
      <c r="H81" s="64"/>
      <c r="I81" s="85">
        <f>I64+I78</f>
        <v>1035.6229999999998</v>
      </c>
      <c r="J81" s="56"/>
    </row>
    <row r="82" spans="1:10" ht="12.75">
      <c r="A82" s="76" t="s">
        <v>36</v>
      </c>
      <c r="B82" s="64"/>
      <c r="C82" s="64"/>
      <c r="D82" s="64"/>
      <c r="E82" s="65"/>
      <c r="F82" s="64"/>
      <c r="G82" s="64"/>
      <c r="H82" s="64"/>
      <c r="I82" s="85">
        <f>I81/C7</f>
        <v>138.08306666666664</v>
      </c>
      <c r="J82" s="56"/>
    </row>
    <row r="83" spans="1:10" ht="12">
      <c r="A83" s="64"/>
      <c r="B83" s="64"/>
      <c r="C83" s="64"/>
      <c r="D83" s="64"/>
      <c r="E83" s="65"/>
      <c r="F83" s="64"/>
      <c r="G83" s="64"/>
      <c r="H83" s="64"/>
      <c r="I83" s="85"/>
      <c r="J83" s="56"/>
    </row>
    <row r="84" spans="1:10" ht="12">
      <c r="A84" s="64" t="s">
        <v>37</v>
      </c>
      <c r="B84" s="64"/>
      <c r="C84" s="64"/>
      <c r="D84" s="64"/>
      <c r="E84" s="65"/>
      <c r="F84" s="64"/>
      <c r="G84" s="64"/>
      <c r="H84" s="64"/>
      <c r="I84" s="85">
        <f>I7-I81</f>
        <v>276.8770000000002</v>
      </c>
      <c r="J84" s="56"/>
    </row>
    <row r="85" spans="1:10" ht="12">
      <c r="A85" s="59"/>
      <c r="B85" s="59"/>
      <c r="C85" s="59"/>
      <c r="D85" s="59"/>
      <c r="E85" s="60"/>
      <c r="F85" s="59"/>
      <c r="G85" s="59"/>
      <c r="H85" s="59"/>
      <c r="I85" s="61"/>
      <c r="J85" s="62"/>
    </row>
    <row r="86" spans="1:10" ht="12">
      <c r="A86" s="67" t="s">
        <v>87</v>
      </c>
      <c r="B86" s="67"/>
      <c r="C86" s="67"/>
      <c r="D86" s="67"/>
      <c r="E86" s="72"/>
      <c r="F86" s="67"/>
      <c r="G86" s="67"/>
      <c r="H86" s="67"/>
      <c r="I86" s="67"/>
      <c r="J86" s="105"/>
    </row>
    <row r="87" spans="1:10" ht="12">
      <c r="A87" s="238" t="s">
        <v>45</v>
      </c>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238"/>
      <c r="B90" s="238"/>
      <c r="C90" s="238"/>
      <c r="D90" s="238"/>
      <c r="E90" s="238"/>
      <c r="F90" s="238"/>
      <c r="G90" s="238"/>
      <c r="H90" s="238"/>
      <c r="I90" s="238"/>
      <c r="J90" s="93"/>
    </row>
    <row r="91" spans="1:10" ht="12">
      <c r="A91" s="238"/>
      <c r="B91" s="238"/>
      <c r="C91" s="238"/>
      <c r="D91" s="238"/>
      <c r="E91" s="238"/>
      <c r="F91" s="238"/>
      <c r="G91" s="238"/>
      <c r="H91" s="238"/>
      <c r="I91" s="238"/>
      <c r="J91" s="93"/>
    </row>
    <row r="92" spans="1:10" ht="12">
      <c r="A92" s="64"/>
      <c r="B92" s="64"/>
      <c r="C92" s="64"/>
      <c r="D92" s="64"/>
      <c r="E92" s="65"/>
      <c r="F92" s="64"/>
      <c r="G92" s="64"/>
      <c r="H92" s="64"/>
      <c r="I92" s="64"/>
      <c r="J92" s="93"/>
    </row>
    <row r="93" spans="1:10" ht="12.75">
      <c r="A93" s="106" t="s">
        <v>52</v>
      </c>
      <c r="B93" s="64"/>
      <c r="C93" s="107" t="s">
        <v>56</v>
      </c>
      <c r="D93" s="64"/>
      <c r="E93" s="65" t="s">
        <v>54</v>
      </c>
      <c r="F93" s="64"/>
      <c r="G93" s="107" t="s">
        <v>55</v>
      </c>
      <c r="H93" s="64"/>
      <c r="I93" s="64"/>
      <c r="J93" s="93"/>
    </row>
    <row r="94" spans="1:10" ht="12">
      <c r="A94" s="64"/>
      <c r="B94" s="64"/>
      <c r="C94" s="108">
        <v>0.1</v>
      </c>
      <c r="D94" s="64"/>
      <c r="E94" s="65"/>
      <c r="F94" s="64"/>
      <c r="G94" s="108">
        <v>0.1</v>
      </c>
      <c r="H94" s="64"/>
      <c r="I94" s="64"/>
      <c r="J94" s="93"/>
    </row>
    <row r="95" spans="1:10" ht="12">
      <c r="A95" s="64"/>
      <c r="B95" s="64"/>
      <c r="C95" s="109"/>
      <c r="D95" s="59"/>
      <c r="E95" s="58" t="s">
        <v>53</v>
      </c>
      <c r="F95" s="59"/>
      <c r="G95" s="109"/>
      <c r="H95" s="64"/>
      <c r="I95" s="64"/>
      <c r="J95" s="93"/>
    </row>
    <row r="96" spans="1:10" ht="12">
      <c r="A96" s="110" t="s">
        <v>49</v>
      </c>
      <c r="B96" s="64"/>
      <c r="C96" s="111">
        <f>E96*(1-C94)</f>
        <v>6.75</v>
      </c>
      <c r="D96" s="112"/>
      <c r="E96" s="113">
        <f>C7</f>
        <v>7.5</v>
      </c>
      <c r="F96" s="112"/>
      <c r="G96" s="114">
        <f>E96*(1+G94)</f>
        <v>8.25</v>
      </c>
      <c r="H96" s="64"/>
      <c r="I96" s="64"/>
      <c r="J96" s="93"/>
    </row>
    <row r="97" spans="1:10" ht="4.5" customHeight="1">
      <c r="A97" s="64"/>
      <c r="B97" s="64"/>
      <c r="C97" s="64"/>
      <c r="D97" s="64"/>
      <c r="E97" s="65"/>
      <c r="F97" s="64"/>
      <c r="G97" s="64"/>
      <c r="H97" s="64"/>
      <c r="I97" s="64"/>
      <c r="J97" s="93"/>
    </row>
    <row r="98" spans="1:10" ht="12">
      <c r="A98" s="64" t="s">
        <v>57</v>
      </c>
      <c r="B98" s="64"/>
      <c r="C98" s="115">
        <f>$I$64/C96</f>
        <v>94.35748148148147</v>
      </c>
      <c r="D98" s="64"/>
      <c r="E98" s="115">
        <f>$I$64/E96</f>
        <v>84.92173333333332</v>
      </c>
      <c r="F98" s="64"/>
      <c r="G98" s="115">
        <f>$I$64/G96</f>
        <v>77.20157575757574</v>
      </c>
      <c r="H98" s="64"/>
      <c r="I98" s="64"/>
      <c r="J98" s="93"/>
    </row>
    <row r="99" spans="1:10" ht="4.5" customHeight="1">
      <c r="A99" s="64"/>
      <c r="B99" s="64"/>
      <c r="C99" s="64"/>
      <c r="D99" s="64"/>
      <c r="E99" s="65"/>
      <c r="F99" s="64"/>
      <c r="G99" s="64"/>
      <c r="H99" s="64"/>
      <c r="I99" s="64"/>
      <c r="J99" s="93"/>
    </row>
    <row r="100" spans="1:10" ht="12">
      <c r="A100" s="64" t="s">
        <v>58</v>
      </c>
      <c r="B100" s="64"/>
      <c r="C100" s="115">
        <f>$I$78/C96</f>
        <v>59.06814814814815</v>
      </c>
      <c r="D100" s="64"/>
      <c r="E100" s="115">
        <f>$I$78/E96</f>
        <v>53.16133333333333</v>
      </c>
      <c r="F100" s="64"/>
      <c r="G100" s="115">
        <f>$I$78/G96</f>
        <v>48.32848484848485</v>
      </c>
      <c r="H100" s="64"/>
      <c r="I100" s="64"/>
      <c r="J100" s="93"/>
    </row>
    <row r="101" spans="1:10" ht="3.75" customHeight="1">
      <c r="A101" s="64"/>
      <c r="B101" s="64"/>
      <c r="C101" s="64"/>
      <c r="D101" s="64"/>
      <c r="E101" s="65"/>
      <c r="F101" s="64"/>
      <c r="G101" s="64"/>
      <c r="H101" s="64"/>
      <c r="I101" s="64"/>
      <c r="J101" s="93"/>
    </row>
    <row r="102" spans="1:10" ht="12">
      <c r="A102" s="64" t="s">
        <v>59</v>
      </c>
      <c r="B102" s="64"/>
      <c r="C102" s="115">
        <f>$I$81/C96</f>
        <v>153.4256296296296</v>
      </c>
      <c r="D102" s="64"/>
      <c r="E102" s="115">
        <f>$I$81/E96</f>
        <v>138.08306666666664</v>
      </c>
      <c r="F102" s="64"/>
      <c r="G102" s="115">
        <f>$I$81/G96</f>
        <v>125.53006060606059</v>
      </c>
      <c r="H102" s="64"/>
      <c r="I102" s="64"/>
      <c r="J102" s="93"/>
    </row>
    <row r="103" spans="1:10" ht="5.25" customHeight="1">
      <c r="A103" s="67"/>
      <c r="B103" s="67"/>
      <c r="C103" s="67"/>
      <c r="D103" s="67"/>
      <c r="E103" s="72"/>
      <c r="F103" s="67"/>
      <c r="G103" s="67"/>
      <c r="H103" s="67"/>
      <c r="I103" s="67"/>
      <c r="J103" s="93"/>
    </row>
    <row r="104" spans="1:10" ht="12">
      <c r="A104" s="64"/>
      <c r="B104" s="64"/>
      <c r="C104" s="64"/>
      <c r="D104" s="64"/>
      <c r="E104" s="65"/>
      <c r="F104" s="64"/>
      <c r="G104" s="64"/>
      <c r="H104" s="64"/>
      <c r="I104" s="64"/>
      <c r="J104" s="93"/>
    </row>
    <row r="105" spans="1:10" ht="12">
      <c r="A105" s="64"/>
      <c r="B105" s="64"/>
      <c r="C105" s="59"/>
      <c r="D105" s="59"/>
      <c r="E105" s="60" t="s">
        <v>49</v>
      </c>
      <c r="F105" s="59"/>
      <c r="G105" s="59"/>
      <c r="H105" s="64"/>
      <c r="I105" s="64"/>
      <c r="J105" s="93"/>
    </row>
    <row r="106" spans="1:10" ht="12">
      <c r="A106" s="110" t="s">
        <v>53</v>
      </c>
      <c r="B106" s="64"/>
      <c r="C106" s="116">
        <f>E106*(1-C94)</f>
        <v>157.5</v>
      </c>
      <c r="D106" s="112"/>
      <c r="E106" s="117">
        <f>G7</f>
        <v>175</v>
      </c>
      <c r="F106" s="112"/>
      <c r="G106" s="116">
        <f>E106*(1+G94)</f>
        <v>192.50000000000003</v>
      </c>
      <c r="H106" s="64"/>
      <c r="I106" s="64"/>
      <c r="J106" s="93"/>
    </row>
    <row r="107" spans="1:10" ht="4.5" customHeight="1">
      <c r="A107" s="64"/>
      <c r="B107" s="64"/>
      <c r="C107" s="64"/>
      <c r="D107" s="64"/>
      <c r="E107" s="65"/>
      <c r="F107" s="64"/>
      <c r="G107" s="64"/>
      <c r="H107" s="64"/>
      <c r="I107" s="64"/>
      <c r="J107" s="93"/>
    </row>
    <row r="108" spans="1:10" ht="12">
      <c r="A108" s="64" t="s">
        <v>57</v>
      </c>
      <c r="B108" s="64"/>
      <c r="C108" s="118">
        <f>$I$64/C106</f>
        <v>4.043892063492063</v>
      </c>
      <c r="D108" s="64"/>
      <c r="E108" s="118">
        <f>$I$64/E106</f>
        <v>3.6395028571428565</v>
      </c>
      <c r="F108" s="64"/>
      <c r="G108" s="118">
        <f>$I$64/G106</f>
        <v>3.30863896103896</v>
      </c>
      <c r="H108" s="64"/>
      <c r="I108" s="64"/>
      <c r="J108" s="93"/>
    </row>
    <row r="109" spans="1:10" ht="3" customHeight="1">
      <c r="A109" s="64"/>
      <c r="B109" s="64"/>
      <c r="C109" s="64"/>
      <c r="D109" s="64"/>
      <c r="E109" s="65"/>
      <c r="F109" s="64"/>
      <c r="G109" s="64"/>
      <c r="H109" s="64"/>
      <c r="I109" s="64"/>
      <c r="J109" s="93"/>
    </row>
    <row r="110" spans="1:10" ht="12">
      <c r="A110" s="64" t="s">
        <v>58</v>
      </c>
      <c r="B110" s="64"/>
      <c r="C110" s="118">
        <f>$I$78/C106</f>
        <v>2.5314920634920632</v>
      </c>
      <c r="D110" s="64"/>
      <c r="E110" s="118">
        <f>$I$78/E106</f>
        <v>2.278342857142857</v>
      </c>
      <c r="F110" s="64"/>
      <c r="G110" s="118">
        <f>$I$78/G106</f>
        <v>2.071220779220779</v>
      </c>
      <c r="H110" s="64"/>
      <c r="I110" s="64"/>
      <c r="J110" s="93"/>
    </row>
    <row r="111" spans="1:10" ht="3.75" customHeight="1">
      <c r="A111" s="64"/>
      <c r="B111" s="64"/>
      <c r="C111" s="64"/>
      <c r="D111" s="64"/>
      <c r="E111" s="65"/>
      <c r="F111" s="64"/>
      <c r="G111" s="64"/>
      <c r="H111" s="64"/>
      <c r="I111" s="64"/>
      <c r="J111" s="93"/>
    </row>
    <row r="112" spans="1:10" ht="12">
      <c r="A112" s="64" t="s">
        <v>59</v>
      </c>
      <c r="B112" s="64"/>
      <c r="C112" s="118">
        <f>$I$81/C106</f>
        <v>6.575384126984126</v>
      </c>
      <c r="D112" s="64"/>
      <c r="E112" s="118">
        <f>$I$81/E106</f>
        <v>5.917845714285713</v>
      </c>
      <c r="F112" s="64"/>
      <c r="G112" s="118">
        <f>$I$81/G106</f>
        <v>5.379859740259739</v>
      </c>
      <c r="H112" s="64"/>
      <c r="I112" s="64"/>
      <c r="J112" s="93"/>
    </row>
    <row r="113" spans="1:10" ht="5.25" customHeight="1">
      <c r="A113" s="64"/>
      <c r="B113" s="64"/>
      <c r="C113" s="64"/>
      <c r="D113" s="64"/>
      <c r="E113" s="65"/>
      <c r="F113" s="64"/>
      <c r="G113" s="64"/>
      <c r="H113" s="64"/>
      <c r="I113" s="64"/>
      <c r="J113" s="93"/>
    </row>
    <row r="114" spans="1:10" ht="12">
      <c r="A114" s="59"/>
      <c r="B114" s="59"/>
      <c r="C114" s="59"/>
      <c r="D114" s="59"/>
      <c r="E114" s="60"/>
      <c r="F114" s="59"/>
      <c r="G114" s="59"/>
      <c r="H114" s="59"/>
      <c r="I114" s="59"/>
      <c r="J114" s="93"/>
    </row>
    <row r="115" spans="1:10" ht="12">
      <c r="A115" s="64"/>
      <c r="B115" s="64"/>
      <c r="C115" s="64"/>
      <c r="D115" s="64"/>
      <c r="E115" s="65"/>
      <c r="F115" s="64"/>
      <c r="G115" s="64"/>
      <c r="H115" s="64"/>
      <c r="I115" s="64"/>
      <c r="J115" s="93"/>
    </row>
    <row r="116" spans="1:10" ht="12">
      <c r="A116" s="119" t="s">
        <v>62</v>
      </c>
      <c r="B116" s="64"/>
      <c r="C116" s="237"/>
      <c r="D116" s="237"/>
      <c r="E116" s="237"/>
      <c r="F116" s="64"/>
      <c r="G116" s="64"/>
      <c r="H116" s="64"/>
      <c r="I116" s="64"/>
      <c r="J116" s="93"/>
    </row>
    <row r="117" spans="1:10" ht="12">
      <c r="A117" s="119" t="s">
        <v>60</v>
      </c>
      <c r="B117" s="64"/>
      <c r="C117" s="237"/>
      <c r="D117" s="237"/>
      <c r="E117" s="237"/>
      <c r="F117" s="237"/>
      <c r="G117" s="237"/>
      <c r="H117" s="64"/>
      <c r="I117" s="64"/>
      <c r="J117" s="93"/>
    </row>
    <row r="118" spans="1:10" ht="12">
      <c r="A118" s="119" t="s">
        <v>61</v>
      </c>
      <c r="B118" s="64"/>
      <c r="C118" s="237"/>
      <c r="D118" s="237"/>
      <c r="E118" s="237"/>
      <c r="F118" s="237"/>
      <c r="G118" s="237"/>
      <c r="H118" s="64"/>
      <c r="I118" s="64"/>
      <c r="J118" s="93"/>
    </row>
    <row r="119" spans="1:10" ht="12">
      <c r="A119" s="64"/>
      <c r="B119" s="64"/>
      <c r="C119" s="237"/>
      <c r="D119" s="237"/>
      <c r="E119" s="237"/>
      <c r="F119" s="237"/>
      <c r="G119" s="237"/>
      <c r="H119" s="64"/>
      <c r="I119" s="64"/>
      <c r="J119" s="93"/>
    </row>
    <row r="120" spans="1:10" ht="12">
      <c r="A120" s="64"/>
      <c r="B120" s="64"/>
      <c r="C120" s="237"/>
      <c r="D120" s="237"/>
      <c r="E120" s="237"/>
      <c r="F120" s="237"/>
      <c r="G120" s="237"/>
      <c r="H120" s="64"/>
      <c r="I120" s="64"/>
      <c r="J120" s="93"/>
    </row>
    <row r="121" spans="1:10" ht="12">
      <c r="A121" s="64"/>
      <c r="B121" s="64"/>
      <c r="C121" s="64"/>
      <c r="D121" s="64"/>
      <c r="E121" s="65"/>
      <c r="F121" s="64"/>
      <c r="G121" s="64"/>
      <c r="H121" s="64"/>
      <c r="I121" s="64"/>
      <c r="J121" s="93"/>
    </row>
  </sheetData>
  <sheetProtection/>
  <mergeCells count="24">
    <mergeCell ref="A74:C74"/>
    <mergeCell ref="D74:H74"/>
    <mergeCell ref="A75:C75"/>
    <mergeCell ref="D75:H75"/>
    <mergeCell ref="C119:G119"/>
    <mergeCell ref="C120:G120"/>
    <mergeCell ref="A76:C76"/>
    <mergeCell ref="D76:H76"/>
    <mergeCell ref="A87:I91"/>
    <mergeCell ref="C116:E116"/>
    <mergeCell ref="C117:G117"/>
    <mergeCell ref="C118:G118"/>
    <mergeCell ref="A71:C71"/>
    <mergeCell ref="D71:H71"/>
    <mergeCell ref="A72:C72"/>
    <mergeCell ref="D72:H72"/>
    <mergeCell ref="A73:C73"/>
    <mergeCell ref="D73:H73"/>
    <mergeCell ref="A1:J1"/>
    <mergeCell ref="L7:P7"/>
    <mergeCell ref="L8:Q8"/>
    <mergeCell ref="C62:G62"/>
    <mergeCell ref="A70:C70"/>
    <mergeCell ref="D70:H70"/>
  </mergeCells>
  <printOptions/>
  <pageMargins left="1.25" right="0.75" top="0.5" bottom="0.5" header="0.5" footer="0.5"/>
  <pageSetup horizontalDpi="600" verticalDpi="600" orientation="portrait" scale="86" r:id="rId1"/>
  <headerFooter alignWithMargins="0">
    <oddFooter>&amp;L&amp;A&amp;CUniversity of Idaho&amp;RAERS Dept</oddFooter>
  </headerFooter>
  <rowBreaks count="1" manualBreakCount="1">
    <brk id="68" max="255" man="1"/>
  </rowBreaks>
</worksheet>
</file>

<file path=xl/worksheets/sheet17.xml><?xml version="1.0" encoding="utf-8"?>
<worksheet xmlns="http://schemas.openxmlformats.org/spreadsheetml/2006/main" xmlns:r="http://schemas.openxmlformats.org/officeDocument/2006/relationships">
  <sheetPr>
    <tabColor rgb="FFFFFF00"/>
  </sheetPr>
  <dimension ref="A1:Q124"/>
  <sheetViews>
    <sheetView tabSelected="1" zoomScalePageLayoutView="0" workbookViewId="0" topLeftCell="A1">
      <selection activeCell="L1" sqref="L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4.28125" style="36" customWidth="1"/>
    <col min="12" max="12" width="10.140625" style="36" bestFit="1" customWidth="1"/>
    <col min="13" max="16384" width="9.140625" style="36" customWidth="1"/>
  </cols>
  <sheetData>
    <row r="1" spans="1:12" ht="33.75" customHeight="1">
      <c r="A1" s="230" t="s">
        <v>414</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66" t="s">
        <v>287</v>
      </c>
      <c r="B7" s="67"/>
      <c r="C7" s="66">
        <v>700</v>
      </c>
      <c r="D7" s="67"/>
      <c r="E7" s="122" t="s">
        <v>38</v>
      </c>
      <c r="F7" s="67"/>
      <c r="G7" s="69">
        <v>2.2</v>
      </c>
      <c r="H7" s="67"/>
      <c r="I7" s="70">
        <f>C7*G7</f>
        <v>1540.0000000000002</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0</v>
      </c>
      <c r="J11" s="56"/>
    </row>
    <row r="12" spans="1:10" ht="12">
      <c r="A12" s="78"/>
      <c r="B12" s="64"/>
      <c r="C12" s="79"/>
      <c r="D12" s="64"/>
      <c r="E12" s="80"/>
      <c r="F12" s="64"/>
      <c r="G12" s="81"/>
      <c r="H12" s="64"/>
      <c r="I12" s="75">
        <f>C12*G12</f>
        <v>0</v>
      </c>
      <c r="J12" s="56"/>
    </row>
    <row r="13" spans="1:10" ht="12">
      <c r="A13" s="79"/>
      <c r="B13" s="64"/>
      <c r="C13" s="79"/>
      <c r="D13" s="64"/>
      <c r="E13" s="80"/>
      <c r="F13" s="64"/>
      <c r="G13" s="163"/>
      <c r="H13" s="64"/>
      <c r="I13" s="75">
        <f>C13*G13</f>
        <v>0</v>
      </c>
      <c r="J13" s="56"/>
    </row>
    <row r="14" spans="1:10" ht="7.5" customHeight="1">
      <c r="A14" s="64"/>
      <c r="B14" s="64"/>
      <c r="C14" s="64"/>
      <c r="D14" s="64"/>
      <c r="E14" s="65"/>
      <c r="F14" s="64"/>
      <c r="G14" s="99"/>
      <c r="H14" s="64"/>
      <c r="I14" s="75"/>
      <c r="J14" s="56"/>
    </row>
    <row r="15" spans="1:10" ht="12.75">
      <c r="A15" s="76" t="s">
        <v>12</v>
      </c>
      <c r="B15" s="64"/>
      <c r="C15" s="64"/>
      <c r="D15" s="64"/>
      <c r="E15" s="65"/>
      <c r="F15" s="64"/>
      <c r="G15" s="99"/>
      <c r="H15" s="64"/>
      <c r="I15" s="77">
        <f>SUM(I16:I17)</f>
        <v>0</v>
      </c>
      <c r="J15" s="56"/>
    </row>
    <row r="16" spans="1:10" ht="12">
      <c r="A16" s="79"/>
      <c r="B16" s="64"/>
      <c r="C16" s="79"/>
      <c r="D16" s="64"/>
      <c r="E16" s="80"/>
      <c r="F16" s="64"/>
      <c r="G16" s="91"/>
      <c r="H16" s="64"/>
      <c r="I16" s="75">
        <f>C16*G16</f>
        <v>0</v>
      </c>
      <c r="J16" s="56"/>
    </row>
    <row r="17" spans="2:10" ht="12">
      <c r="B17" s="64"/>
      <c r="C17" s="79"/>
      <c r="D17" s="64"/>
      <c r="E17" s="80"/>
      <c r="F17" s="64"/>
      <c r="G17" s="163"/>
      <c r="H17" s="64"/>
      <c r="I17" s="85">
        <f>C17*G17</f>
        <v>0</v>
      </c>
      <c r="J17" s="56"/>
    </row>
    <row r="18" spans="1:10" ht="12">
      <c r="A18" s="64"/>
      <c r="B18" s="64"/>
      <c r="C18" s="64"/>
      <c r="D18" s="64"/>
      <c r="E18" s="65"/>
      <c r="F18" s="64"/>
      <c r="G18" s="99"/>
      <c r="H18" s="64"/>
      <c r="I18" s="85"/>
      <c r="J18" s="56"/>
    </row>
    <row r="19" spans="1:10" ht="12.75">
      <c r="A19" s="76" t="s">
        <v>17</v>
      </c>
      <c r="B19" s="64"/>
      <c r="C19" s="64"/>
      <c r="D19" s="64"/>
      <c r="E19" s="65"/>
      <c r="F19" s="64"/>
      <c r="G19" s="99"/>
      <c r="H19" s="64"/>
      <c r="I19" s="86">
        <f>SUM(I20:I31)</f>
        <v>250.11149999999998</v>
      </c>
      <c r="J19" s="56"/>
    </row>
    <row r="20" spans="1:10" ht="12">
      <c r="A20" t="s">
        <v>289</v>
      </c>
      <c r="B20" s="64"/>
      <c r="C20">
        <v>3</v>
      </c>
      <c r="D20" s="64"/>
      <c r="E20" s="11" t="s">
        <v>290</v>
      </c>
      <c r="F20" s="64"/>
      <c r="G20" s="91">
        <f>DualMagnum</f>
        <v>18.25</v>
      </c>
      <c r="H20" s="64"/>
      <c r="I20" s="85">
        <f>C20*G20</f>
        <v>54.75</v>
      </c>
      <c r="J20" s="56"/>
    </row>
    <row r="21" spans="1:10" ht="12">
      <c r="A21" t="s">
        <v>291</v>
      </c>
      <c r="B21" s="64"/>
      <c r="C21">
        <v>4</v>
      </c>
      <c r="D21" s="64"/>
      <c r="E21" s="11" t="s">
        <v>290</v>
      </c>
      <c r="F21" s="64"/>
      <c r="G21" s="91">
        <f>Sonalan</f>
        <v>5.7</v>
      </c>
      <c r="H21" s="64"/>
      <c r="I21" s="85">
        <f>C21*G21</f>
        <v>22.8</v>
      </c>
      <c r="J21" s="56"/>
    </row>
    <row r="22" spans="1:10" ht="12">
      <c r="A22" t="s">
        <v>292</v>
      </c>
      <c r="B22" s="64"/>
      <c r="C22">
        <v>4</v>
      </c>
      <c r="D22" s="64"/>
      <c r="E22" s="11" t="s">
        <v>290</v>
      </c>
      <c r="F22" s="64"/>
      <c r="G22" s="91">
        <f>Prowl</f>
        <v>5.6</v>
      </c>
      <c r="H22" s="64"/>
      <c r="I22" s="85">
        <f aca="true" t="shared" si="0" ref="I22:I28">C22*G22</f>
        <v>22.4</v>
      </c>
      <c r="J22" s="56"/>
    </row>
    <row r="23" spans="1:10" ht="12">
      <c r="A23" t="s">
        <v>293</v>
      </c>
      <c r="B23" s="64"/>
      <c r="C23">
        <v>12.8</v>
      </c>
      <c r="D23" s="64"/>
      <c r="E23" s="11" t="s">
        <v>294</v>
      </c>
      <c r="F23" s="64"/>
      <c r="G23" s="91">
        <f>Brigade</f>
        <v>1.08</v>
      </c>
      <c r="H23" s="64"/>
      <c r="I23" s="85">
        <f t="shared" si="0"/>
        <v>13.824000000000002</v>
      </c>
      <c r="J23" s="56"/>
    </row>
    <row r="24" spans="1:10" ht="12">
      <c r="A24" t="s">
        <v>295</v>
      </c>
      <c r="B24" s="64"/>
      <c r="C24">
        <v>2.8</v>
      </c>
      <c r="D24" s="64"/>
      <c r="E24" s="11" t="s">
        <v>294</v>
      </c>
      <c r="F24" s="64"/>
      <c r="G24" s="91">
        <f>Beleaf</f>
        <v>9.5</v>
      </c>
      <c r="H24" s="64"/>
      <c r="I24" s="85">
        <f t="shared" si="0"/>
        <v>26.599999999999998</v>
      </c>
      <c r="J24" s="56"/>
    </row>
    <row r="25" spans="1:10" ht="12">
      <c r="A25" t="s">
        <v>296</v>
      </c>
      <c r="B25" s="64"/>
      <c r="C25">
        <v>24</v>
      </c>
      <c r="D25" s="64"/>
      <c r="E25" s="11" t="s">
        <v>297</v>
      </c>
      <c r="F25" s="64"/>
      <c r="G25" s="91">
        <f>Rimon</f>
        <v>1.65</v>
      </c>
      <c r="H25" s="64"/>
      <c r="I25" s="85">
        <f t="shared" si="0"/>
        <v>39.599999999999994</v>
      </c>
      <c r="J25" s="56"/>
    </row>
    <row r="26" spans="1:10" ht="12">
      <c r="A26" t="s">
        <v>298</v>
      </c>
      <c r="B26" s="64"/>
      <c r="C26">
        <v>8</v>
      </c>
      <c r="D26" s="64"/>
      <c r="E26" s="11" t="s">
        <v>294</v>
      </c>
      <c r="F26" s="64"/>
      <c r="G26" s="91">
        <f>Onager</f>
        <v>2.35</v>
      </c>
      <c r="H26" s="64"/>
      <c r="I26" s="85">
        <f t="shared" si="0"/>
        <v>18.8</v>
      </c>
      <c r="J26" s="56"/>
    </row>
    <row r="27" spans="1:10" ht="12">
      <c r="A27" t="s">
        <v>299</v>
      </c>
      <c r="B27" s="64"/>
      <c r="C27">
        <v>0.65</v>
      </c>
      <c r="D27" s="64"/>
      <c r="E27" s="11" t="s">
        <v>300</v>
      </c>
      <c r="F27" s="64"/>
      <c r="G27" s="91">
        <f>Thiodan</f>
        <v>7.95</v>
      </c>
      <c r="H27" s="64"/>
      <c r="I27" s="85">
        <f t="shared" si="0"/>
        <v>5.1675</v>
      </c>
      <c r="J27" s="56"/>
    </row>
    <row r="28" spans="1:10" ht="12">
      <c r="A28" t="s">
        <v>301</v>
      </c>
      <c r="B28" s="64"/>
      <c r="C28">
        <v>4</v>
      </c>
      <c r="D28" s="64"/>
      <c r="E28" s="11" t="s">
        <v>297</v>
      </c>
      <c r="F28" s="64"/>
      <c r="G28" s="91">
        <f>Warrior</f>
        <v>3.25</v>
      </c>
      <c r="H28" s="64"/>
      <c r="I28" s="85">
        <f t="shared" si="0"/>
        <v>13</v>
      </c>
      <c r="J28" s="56"/>
    </row>
    <row r="29" spans="1:10" ht="12">
      <c r="A29" t="s">
        <v>302</v>
      </c>
      <c r="B29" s="64"/>
      <c r="C29">
        <v>1</v>
      </c>
      <c r="D29" s="64"/>
      <c r="E29" s="11" t="s">
        <v>290</v>
      </c>
      <c r="F29" s="64"/>
      <c r="G29" s="91">
        <f>Dibrom</f>
        <v>12.75</v>
      </c>
      <c r="H29" s="64"/>
      <c r="I29" s="85">
        <f>C29*G29</f>
        <v>12.75</v>
      </c>
      <c r="J29" s="56"/>
    </row>
    <row r="30" spans="1:10" ht="12">
      <c r="A30" t="s">
        <v>303</v>
      </c>
      <c r="B30" s="64"/>
      <c r="C30">
        <v>4</v>
      </c>
      <c r="D30" s="64"/>
      <c r="E30" s="11" t="s">
        <v>290</v>
      </c>
      <c r="F30" s="64"/>
      <c r="G30" s="91">
        <f>Gramoxone</f>
        <v>4.19</v>
      </c>
      <c r="H30" s="64"/>
      <c r="I30" s="85">
        <f>C30*G30</f>
        <v>16.76</v>
      </c>
      <c r="J30" s="56"/>
    </row>
    <row r="31" spans="1:10" ht="12">
      <c r="A31" s="226" t="s">
        <v>415</v>
      </c>
      <c r="B31" s="64"/>
      <c r="C31" s="79">
        <v>2</v>
      </c>
      <c r="D31" s="64"/>
      <c r="E31" s="80" t="s">
        <v>290</v>
      </c>
      <c r="F31" s="64"/>
      <c r="G31" s="81">
        <v>1.83</v>
      </c>
      <c r="H31" s="64"/>
      <c r="I31" s="85">
        <f>C31*G31</f>
        <v>3.66</v>
      </c>
      <c r="J31" s="56"/>
    </row>
    <row r="32" spans="1:10" ht="5.25" customHeight="1">
      <c r="A32" s="64"/>
      <c r="B32" s="64"/>
      <c r="C32" s="64"/>
      <c r="D32" s="64"/>
      <c r="E32" s="65"/>
      <c r="F32" s="64"/>
      <c r="G32" s="74"/>
      <c r="H32" s="64"/>
      <c r="I32" s="85"/>
      <c r="J32" s="56"/>
    </row>
    <row r="33" spans="1:10" ht="12.75">
      <c r="A33" s="76" t="s">
        <v>43</v>
      </c>
      <c r="B33" s="64"/>
      <c r="C33" s="64"/>
      <c r="D33" s="64"/>
      <c r="E33" s="65"/>
      <c r="F33" s="64"/>
      <c r="G33" s="74"/>
      <c r="H33" s="64"/>
      <c r="I33" s="86">
        <f>SUM(I34:I37)</f>
        <v>91.35</v>
      </c>
      <c r="J33" s="56"/>
    </row>
    <row r="34" spans="1:10" ht="12">
      <c r="A34" t="s">
        <v>304</v>
      </c>
      <c r="B34" s="64"/>
      <c r="C34" s="79">
        <v>3</v>
      </c>
      <c r="D34" s="64"/>
      <c r="E34" s="80" t="s">
        <v>39</v>
      </c>
      <c r="F34" s="64"/>
      <c r="G34" s="91">
        <f>CGroundSpray</f>
        <v>8.25</v>
      </c>
      <c r="H34" s="64"/>
      <c r="I34" s="85">
        <f>C34*G34</f>
        <v>24.75</v>
      </c>
      <c r="J34" s="56"/>
    </row>
    <row r="35" spans="1:10" ht="12">
      <c r="A35" t="s">
        <v>305</v>
      </c>
      <c r="B35" s="64"/>
      <c r="C35" s="36">
        <v>1</v>
      </c>
      <c r="D35" s="64"/>
      <c r="E35" s="120" t="s">
        <v>39</v>
      </c>
      <c r="F35" s="64"/>
      <c r="G35" s="91">
        <v>30</v>
      </c>
      <c r="H35" s="64"/>
      <c r="I35" s="85">
        <f>C35*G35</f>
        <v>30</v>
      </c>
      <c r="J35" s="56"/>
    </row>
    <row r="36" spans="1:10" ht="12">
      <c r="A36" t="s">
        <v>306</v>
      </c>
      <c r="B36" s="64"/>
      <c r="C36" s="79">
        <v>4</v>
      </c>
      <c r="D36" s="64"/>
      <c r="E36" s="80" t="s">
        <v>39</v>
      </c>
      <c r="F36" s="64"/>
      <c r="G36" s="91">
        <f>CAirspray5</f>
        <v>9.15</v>
      </c>
      <c r="H36" s="64"/>
      <c r="I36" s="85">
        <f>C36*G36</f>
        <v>36.6</v>
      </c>
      <c r="J36" s="56"/>
    </row>
    <row r="37" spans="1:10" ht="12">
      <c r="A37" s="79"/>
      <c r="B37" s="64"/>
      <c r="C37" s="79"/>
      <c r="D37" s="64"/>
      <c r="E37" s="80"/>
      <c r="F37" s="64"/>
      <c r="G37" s="81"/>
      <c r="H37" s="64"/>
      <c r="I37" s="85">
        <f>C37*G37</f>
        <v>0</v>
      </c>
      <c r="J37" s="56"/>
    </row>
    <row r="38" spans="1:10" ht="12">
      <c r="A38" s="64"/>
      <c r="B38" s="64"/>
      <c r="C38" s="64"/>
      <c r="D38" s="64"/>
      <c r="E38" s="65"/>
      <c r="F38" s="64"/>
      <c r="G38" s="99"/>
      <c r="H38" s="64"/>
      <c r="I38" s="85"/>
      <c r="J38" s="56"/>
    </row>
    <row r="39" spans="1:10" ht="12.75">
      <c r="A39" s="76" t="s">
        <v>22</v>
      </c>
      <c r="B39" s="64"/>
      <c r="C39" s="64"/>
      <c r="D39" s="64"/>
      <c r="E39" s="65"/>
      <c r="F39" s="64"/>
      <c r="G39" s="99"/>
      <c r="H39" s="64"/>
      <c r="I39" s="86">
        <f>SUM(I40:I42)</f>
        <v>51.6</v>
      </c>
      <c r="J39" s="56"/>
    </row>
    <row r="40" spans="1:10" ht="12">
      <c r="A40" s="79" t="s">
        <v>21</v>
      </c>
      <c r="B40" s="64"/>
      <c r="C40" s="79">
        <v>1</v>
      </c>
      <c r="D40" s="64"/>
      <c r="E40" s="80" t="s">
        <v>39</v>
      </c>
      <c r="F40" s="64"/>
      <c r="G40" s="91">
        <f>WaterA</f>
        <v>48.85</v>
      </c>
      <c r="H40" s="64"/>
      <c r="I40" s="85">
        <f>C40*G40</f>
        <v>48.85</v>
      </c>
      <c r="J40" s="56"/>
    </row>
    <row r="41" spans="1:10" ht="12">
      <c r="A41" s="79" t="s">
        <v>96</v>
      </c>
      <c r="B41" s="64"/>
      <c r="C41" s="79">
        <v>1</v>
      </c>
      <c r="D41" s="64"/>
      <c r="E41" s="80" t="s">
        <v>39</v>
      </c>
      <c r="F41" s="64"/>
      <c r="G41" s="91">
        <f>IrrigationR</f>
        <v>2.75</v>
      </c>
      <c r="H41" s="64"/>
      <c r="I41" s="85">
        <f>C41*G41</f>
        <v>2.75</v>
      </c>
      <c r="J41" s="56"/>
    </row>
    <row r="42" spans="1:10" ht="12">
      <c r="A42" s="79"/>
      <c r="B42" s="64"/>
      <c r="C42" s="79"/>
      <c r="D42" s="64"/>
      <c r="E42" s="80"/>
      <c r="F42" s="64"/>
      <c r="G42" s="81"/>
      <c r="H42" s="64"/>
      <c r="I42" s="85">
        <f>C42*G42</f>
        <v>0</v>
      </c>
      <c r="J42" s="56"/>
    </row>
    <row r="43" spans="1:10" ht="5.25" customHeight="1">
      <c r="A43" s="64"/>
      <c r="B43" s="64"/>
      <c r="C43" s="64"/>
      <c r="D43" s="64"/>
      <c r="E43" s="65"/>
      <c r="F43" s="64"/>
      <c r="G43" s="99"/>
      <c r="H43" s="64"/>
      <c r="I43" s="85"/>
      <c r="J43" s="56"/>
    </row>
    <row r="44" spans="1:10" ht="12.75">
      <c r="A44" s="76" t="s">
        <v>149</v>
      </c>
      <c r="B44" s="64"/>
      <c r="C44" s="93"/>
      <c r="D44" s="64"/>
      <c r="E44" s="65"/>
      <c r="F44" s="64"/>
      <c r="G44" s="99"/>
      <c r="H44" s="64"/>
      <c r="I44" s="86">
        <f>SUM(I45:I49)</f>
        <v>55.98299999999999</v>
      </c>
      <c r="J44" s="56"/>
    </row>
    <row r="45" spans="1:10" ht="12">
      <c r="A45" s="78" t="s">
        <v>150</v>
      </c>
      <c r="B45" s="64"/>
      <c r="C45" s="79">
        <v>0.69</v>
      </c>
      <c r="D45" s="64"/>
      <c r="E45" s="89" t="s">
        <v>91</v>
      </c>
      <c r="F45" s="64"/>
      <c r="G45" s="91">
        <f>FuelGas</f>
        <v>3.7</v>
      </c>
      <c r="H45" s="64"/>
      <c r="I45" s="85">
        <f>C45*G45</f>
        <v>2.553</v>
      </c>
      <c r="J45" s="56"/>
    </row>
    <row r="46" spans="1:10" ht="12">
      <c r="A46" s="78" t="s">
        <v>151</v>
      </c>
      <c r="B46" s="64"/>
      <c r="C46" s="79">
        <v>10.2</v>
      </c>
      <c r="D46" s="64"/>
      <c r="E46" s="89" t="s">
        <v>91</v>
      </c>
      <c r="F46" s="64"/>
      <c r="G46" s="91">
        <f>FuelD</f>
        <v>3.6</v>
      </c>
      <c r="H46" s="64"/>
      <c r="I46" s="85">
        <f>C46*G46</f>
        <v>36.72</v>
      </c>
      <c r="J46" s="56"/>
    </row>
    <row r="47" spans="1:10" ht="12">
      <c r="A47" s="78" t="s">
        <v>285</v>
      </c>
      <c r="B47" s="64"/>
      <c r="C47" s="79">
        <v>0.5</v>
      </c>
      <c r="D47" s="64"/>
      <c r="E47" s="89" t="s">
        <v>91</v>
      </c>
      <c r="F47" s="64"/>
      <c r="G47" s="91">
        <f>FuelRD</f>
        <v>4.1</v>
      </c>
      <c r="H47" s="64"/>
      <c r="I47" s="85">
        <f>C47*G47</f>
        <v>2.05</v>
      </c>
      <c r="J47" s="56"/>
    </row>
    <row r="48" spans="1:10" ht="12">
      <c r="A48" s="83" t="s">
        <v>152</v>
      </c>
      <c r="B48" s="64"/>
      <c r="C48" s="79">
        <v>1</v>
      </c>
      <c r="D48" s="64"/>
      <c r="E48" s="89" t="s">
        <v>39</v>
      </c>
      <c r="F48" s="64"/>
      <c r="G48" s="91">
        <v>6.02</v>
      </c>
      <c r="H48" s="64"/>
      <c r="I48" s="85">
        <f>C48*G48</f>
        <v>6.02</v>
      </c>
      <c r="J48" s="56"/>
    </row>
    <row r="49" spans="1:10" ht="12">
      <c r="A49" s="83" t="s">
        <v>26</v>
      </c>
      <c r="B49" s="64"/>
      <c r="C49" s="79">
        <v>1</v>
      </c>
      <c r="D49" s="64"/>
      <c r="E49" s="89" t="s">
        <v>39</v>
      </c>
      <c r="F49" s="64"/>
      <c r="G49" s="91">
        <v>8.64</v>
      </c>
      <c r="H49" s="64"/>
      <c r="I49" s="85">
        <f>C49*G49</f>
        <v>8.64</v>
      </c>
      <c r="J49" s="56"/>
    </row>
    <row r="50" spans="1:10" ht="5.25" customHeight="1">
      <c r="A50" s="94"/>
      <c r="B50" s="93"/>
      <c r="C50" s="95"/>
      <c r="D50" s="93"/>
      <c r="E50" s="96"/>
      <c r="F50" s="93"/>
      <c r="G50" s="98"/>
      <c r="H50" s="64"/>
      <c r="I50" s="85"/>
      <c r="J50" s="56"/>
    </row>
    <row r="51" spans="1:10" ht="12.75">
      <c r="A51" s="76" t="s">
        <v>155</v>
      </c>
      <c r="B51" s="64"/>
      <c r="C51" s="93"/>
      <c r="D51" s="64"/>
      <c r="E51" s="65"/>
      <c r="F51" s="64"/>
      <c r="G51" s="99"/>
      <c r="H51" s="64"/>
      <c r="I51" s="86">
        <f>SUM(I52:I54)</f>
        <v>105.888</v>
      </c>
      <c r="J51" s="56"/>
    </row>
    <row r="52" spans="1:10" ht="12">
      <c r="A52" s="78" t="s">
        <v>156</v>
      </c>
      <c r="B52" s="64"/>
      <c r="C52" s="79">
        <v>2.21</v>
      </c>
      <c r="D52" s="64"/>
      <c r="E52" s="89" t="s">
        <v>42</v>
      </c>
      <c r="F52" s="64"/>
      <c r="G52" s="91">
        <f>Labor</f>
        <v>17.8</v>
      </c>
      <c r="H52" s="64"/>
      <c r="I52" s="85">
        <f>C52*G52</f>
        <v>39.338</v>
      </c>
      <c r="J52" s="56"/>
    </row>
    <row r="53" spans="1:10" ht="12">
      <c r="A53" s="78" t="s">
        <v>158</v>
      </c>
      <c r="B53" s="64"/>
      <c r="C53" s="79">
        <v>4.2</v>
      </c>
      <c r="D53" s="64"/>
      <c r="E53" s="80" t="s">
        <v>42</v>
      </c>
      <c r="F53" s="64"/>
      <c r="G53" s="91">
        <f>IrrigationR</f>
        <v>2.75</v>
      </c>
      <c r="H53" s="64"/>
      <c r="I53" s="85">
        <f>C53*G53</f>
        <v>11.55</v>
      </c>
      <c r="J53" s="56"/>
    </row>
    <row r="54" spans="1:10" ht="12">
      <c r="A54" s="78" t="s">
        <v>153</v>
      </c>
      <c r="B54" s="64"/>
      <c r="C54" s="79">
        <v>1</v>
      </c>
      <c r="D54" s="64"/>
      <c r="E54" s="89" t="s">
        <v>42</v>
      </c>
      <c r="F54" s="64"/>
      <c r="G54" s="91">
        <v>55</v>
      </c>
      <c r="H54" s="64"/>
      <c r="I54" s="85">
        <f>C54*G54</f>
        <v>55</v>
      </c>
      <c r="J54" s="56"/>
    </row>
    <row r="55" spans="1:10" ht="5.25" customHeight="1">
      <c r="A55" s="95"/>
      <c r="B55" s="93"/>
      <c r="C55" s="95"/>
      <c r="D55" s="93"/>
      <c r="E55" s="96"/>
      <c r="F55" s="93"/>
      <c r="G55" s="98"/>
      <c r="H55" s="64"/>
      <c r="I55" s="85"/>
      <c r="J55" s="56"/>
    </row>
    <row r="56" spans="1:10" ht="12.75">
      <c r="A56" s="76" t="s">
        <v>154</v>
      </c>
      <c r="B56" s="64"/>
      <c r="C56" s="93"/>
      <c r="D56" s="64"/>
      <c r="E56" s="65"/>
      <c r="F56" s="64"/>
      <c r="G56" s="99"/>
      <c r="H56" s="64"/>
      <c r="I56" s="86">
        <f>SUM(I57:I58)</f>
        <v>0</v>
      </c>
      <c r="J56" s="56"/>
    </row>
    <row r="57" spans="1:10" ht="12">
      <c r="A57" s="78"/>
      <c r="B57" s="64"/>
      <c r="C57" s="79"/>
      <c r="D57" s="64"/>
      <c r="E57" s="89"/>
      <c r="F57" s="64"/>
      <c r="G57" s="81"/>
      <c r="H57" s="64"/>
      <c r="I57" s="85">
        <f>C57*G57</f>
        <v>0</v>
      </c>
      <c r="J57" s="56"/>
    </row>
    <row r="58" spans="1:10" ht="12">
      <c r="A58" s="78"/>
      <c r="B58" s="64"/>
      <c r="C58" s="79"/>
      <c r="D58" s="64"/>
      <c r="E58" s="80"/>
      <c r="F58" s="64"/>
      <c r="G58" s="81"/>
      <c r="H58" s="64"/>
      <c r="I58" s="85">
        <f>C58*G58</f>
        <v>0</v>
      </c>
      <c r="J58" s="56"/>
    </row>
    <row r="59" spans="1:10" ht="6" customHeight="1">
      <c r="A59" s="94"/>
      <c r="B59" s="93"/>
      <c r="C59" s="95"/>
      <c r="D59" s="93"/>
      <c r="E59" s="96"/>
      <c r="F59" s="93"/>
      <c r="G59" s="100"/>
      <c r="H59" s="64"/>
      <c r="I59" s="85"/>
      <c r="J59" s="56"/>
    </row>
    <row r="60" spans="1:10" ht="12.75">
      <c r="A60" s="76" t="s">
        <v>23</v>
      </c>
      <c r="B60" s="64"/>
      <c r="C60" s="64"/>
      <c r="D60" s="64"/>
      <c r="E60" s="65"/>
      <c r="F60" s="64"/>
      <c r="G60" s="74"/>
      <c r="H60" s="64"/>
      <c r="I60" s="86">
        <f>SUM(I61:I63)</f>
        <v>545</v>
      </c>
      <c r="J60" s="56"/>
    </row>
    <row r="61" spans="1:10" ht="12">
      <c r="A61" s="79" t="s">
        <v>24</v>
      </c>
      <c r="B61" s="64"/>
      <c r="C61" s="79">
        <v>1</v>
      </c>
      <c r="D61" s="64"/>
      <c r="E61" s="80" t="s">
        <v>39</v>
      </c>
      <c r="F61" s="64"/>
      <c r="G61" s="81">
        <v>30</v>
      </c>
      <c r="H61" s="64"/>
      <c r="I61" s="85">
        <f>C61*G61</f>
        <v>30</v>
      </c>
      <c r="J61" s="56"/>
    </row>
    <row r="62" spans="1:10" ht="12">
      <c r="A62" s="79" t="s">
        <v>307</v>
      </c>
      <c r="B62" s="64"/>
      <c r="C62" s="79">
        <v>700</v>
      </c>
      <c r="D62" s="64"/>
      <c r="E62" s="80" t="s">
        <v>38</v>
      </c>
      <c r="F62" s="64"/>
      <c r="G62" s="81">
        <v>0.2</v>
      </c>
      <c r="H62" s="64"/>
      <c r="I62" s="85">
        <f>C62*G62</f>
        <v>140</v>
      </c>
      <c r="J62" s="56"/>
    </row>
    <row r="63" spans="1:10" ht="12">
      <c r="A63" s="79" t="s">
        <v>308</v>
      </c>
      <c r="B63" s="64"/>
      <c r="C63" s="79">
        <v>5</v>
      </c>
      <c r="D63" s="64"/>
      <c r="E63" s="80" t="s">
        <v>91</v>
      </c>
      <c r="F63" s="64"/>
      <c r="G63" s="81">
        <v>75</v>
      </c>
      <c r="H63" s="64"/>
      <c r="I63" s="85">
        <f>C63*G63</f>
        <v>375</v>
      </c>
      <c r="J63" s="56"/>
    </row>
    <row r="64" spans="1:10" ht="21" customHeight="1">
      <c r="A64" s="95"/>
      <c r="B64" s="93"/>
      <c r="C64" s="95"/>
      <c r="D64" s="93"/>
      <c r="E64" s="96"/>
      <c r="F64" s="93"/>
      <c r="G64" s="97"/>
      <c r="H64" s="64"/>
      <c r="I64" s="101"/>
      <c r="J64" s="56"/>
    </row>
    <row r="65" spans="1:10" ht="12">
      <c r="A65" s="102" t="s">
        <v>388</v>
      </c>
      <c r="B65" s="64"/>
      <c r="C65" s="235"/>
      <c r="D65" s="235"/>
      <c r="E65" s="235"/>
      <c r="F65" s="235"/>
      <c r="G65" s="235"/>
      <c r="H65" s="64"/>
      <c r="I65" s="91">
        <f>SUM(I60+I51+I44+I39+I33+I19)*Oper*0.5</f>
        <v>37.122721874999996</v>
      </c>
      <c r="J65" s="56"/>
    </row>
    <row r="66" spans="1:10" ht="5.25" customHeight="1">
      <c r="A66" s="64"/>
      <c r="B66" s="64"/>
      <c r="C66" s="64"/>
      <c r="D66" s="64"/>
      <c r="E66" s="65"/>
      <c r="F66" s="64"/>
      <c r="G66" s="64"/>
      <c r="H66" s="64"/>
      <c r="I66" s="85"/>
      <c r="J66" s="56"/>
    </row>
    <row r="67" spans="1:10" ht="12">
      <c r="A67" s="64" t="s">
        <v>27</v>
      </c>
      <c r="B67" s="64"/>
      <c r="C67" s="64"/>
      <c r="D67" s="64"/>
      <c r="E67" s="65"/>
      <c r="F67" s="64"/>
      <c r="G67" s="64"/>
      <c r="H67" s="64"/>
      <c r="I67" s="85">
        <f>SUM(I11:I65)-(I11+I15+I19+I33+I39+I44+I51+I56+I60)</f>
        <v>1137.055221875</v>
      </c>
      <c r="J67" s="56"/>
    </row>
    <row r="68" spans="1:10" ht="12">
      <c r="A68" s="64" t="s">
        <v>28</v>
      </c>
      <c r="B68" s="64"/>
      <c r="C68" s="64"/>
      <c r="D68" s="64"/>
      <c r="E68" s="65"/>
      <c r="F68" s="64"/>
      <c r="G68" s="64"/>
      <c r="H68" s="64"/>
      <c r="I68" s="85">
        <f>I67/C7</f>
        <v>1.6243646026785714</v>
      </c>
      <c r="J68" s="56"/>
    </row>
    <row r="69" spans="1:10" ht="5.25" customHeight="1">
      <c r="A69" s="64"/>
      <c r="B69" s="64"/>
      <c r="C69" s="64"/>
      <c r="D69" s="64"/>
      <c r="E69" s="65"/>
      <c r="F69" s="64"/>
      <c r="G69" s="64"/>
      <c r="H69" s="64"/>
      <c r="I69" s="85"/>
      <c r="J69" s="56"/>
    </row>
    <row r="70" spans="1:10" ht="12">
      <c r="A70" s="59" t="s">
        <v>29</v>
      </c>
      <c r="B70" s="59"/>
      <c r="C70" s="59"/>
      <c r="D70" s="59"/>
      <c r="E70" s="60"/>
      <c r="F70" s="59"/>
      <c r="G70" s="59"/>
      <c r="H70" s="59"/>
      <c r="I70" s="103">
        <f>I7-I67</f>
        <v>402.9447781250003</v>
      </c>
      <c r="J70" s="56"/>
    </row>
    <row r="71" spans="1:10" ht="5.25" customHeight="1">
      <c r="A71" s="64"/>
      <c r="B71" s="64"/>
      <c r="C71" s="64"/>
      <c r="D71" s="64"/>
      <c r="E71" s="65"/>
      <c r="F71" s="64"/>
      <c r="G71" s="64"/>
      <c r="H71" s="64"/>
      <c r="I71" s="85"/>
      <c r="J71" s="56"/>
    </row>
    <row r="72" spans="1:10" ht="12.75">
      <c r="A72" s="63" t="s">
        <v>30</v>
      </c>
      <c r="B72" s="64"/>
      <c r="C72" s="64"/>
      <c r="D72" s="64"/>
      <c r="E72" s="65"/>
      <c r="F72" s="64"/>
      <c r="G72" s="64"/>
      <c r="H72" s="64"/>
      <c r="I72" s="85"/>
      <c r="J72" s="56"/>
    </row>
    <row r="73" spans="1:10" ht="12">
      <c r="A73" s="234" t="s">
        <v>63</v>
      </c>
      <c r="B73" s="234"/>
      <c r="C73" s="234"/>
      <c r="D73" s="235"/>
      <c r="E73" s="235"/>
      <c r="F73" s="235"/>
      <c r="G73" s="235"/>
      <c r="H73" s="235"/>
      <c r="I73" s="91">
        <v>1.4</v>
      </c>
      <c r="J73" s="56"/>
    </row>
    <row r="74" spans="1:10" ht="12">
      <c r="A74" s="236" t="s">
        <v>352</v>
      </c>
      <c r="B74" s="236"/>
      <c r="C74" s="236"/>
      <c r="D74" s="235"/>
      <c r="E74" s="235"/>
      <c r="F74" s="235"/>
      <c r="G74" s="235"/>
      <c r="H74" s="235"/>
      <c r="I74" s="91">
        <v>56.14</v>
      </c>
      <c r="J74" s="56"/>
    </row>
    <row r="75" spans="1:10" ht="12">
      <c r="A75" s="237" t="s">
        <v>44</v>
      </c>
      <c r="B75" s="237"/>
      <c r="C75" s="237"/>
      <c r="D75" s="235"/>
      <c r="E75" s="235"/>
      <c r="F75" s="235"/>
      <c r="G75" s="235"/>
      <c r="H75" s="235"/>
      <c r="I75" s="91">
        <v>300</v>
      </c>
      <c r="J75" s="56"/>
    </row>
    <row r="76" spans="1:10" ht="12">
      <c r="A76" s="237" t="s">
        <v>31</v>
      </c>
      <c r="B76" s="237"/>
      <c r="C76" s="237"/>
      <c r="D76" s="235"/>
      <c r="E76" s="235"/>
      <c r="F76" s="235"/>
      <c r="G76" s="235"/>
      <c r="H76" s="235"/>
      <c r="I76" s="91">
        <v>30</v>
      </c>
      <c r="J76" s="56"/>
    </row>
    <row r="77" spans="1:10" ht="12">
      <c r="A77" s="237" t="s">
        <v>32</v>
      </c>
      <c r="B77" s="237"/>
      <c r="C77" s="237"/>
      <c r="D77" s="235"/>
      <c r="E77" s="235"/>
      <c r="F77" s="235"/>
      <c r="G77" s="235"/>
      <c r="H77" s="235"/>
      <c r="I77" s="91">
        <v>70</v>
      </c>
      <c r="J77" s="56"/>
    </row>
    <row r="78" spans="1:10" ht="12">
      <c r="A78" s="254" t="s">
        <v>70</v>
      </c>
      <c r="B78" s="254"/>
      <c r="C78" s="254"/>
      <c r="D78" s="235"/>
      <c r="E78" s="235"/>
      <c r="F78" s="235"/>
      <c r="G78" s="235"/>
      <c r="H78" s="235"/>
      <c r="I78" s="91">
        <v>194.87</v>
      </c>
      <c r="J78" s="56"/>
    </row>
    <row r="79" spans="1:10" ht="12">
      <c r="A79" s="237"/>
      <c r="B79" s="237"/>
      <c r="C79" s="237"/>
      <c r="D79" s="235"/>
      <c r="E79" s="235"/>
      <c r="F79" s="235"/>
      <c r="G79" s="235"/>
      <c r="H79" s="235"/>
      <c r="I79" s="91"/>
      <c r="J79" s="56"/>
    </row>
    <row r="80" spans="1:10" ht="5.25" customHeight="1">
      <c r="A80" s="64"/>
      <c r="B80" s="64"/>
      <c r="C80" s="64"/>
      <c r="D80" s="64"/>
      <c r="E80" s="65"/>
      <c r="F80" s="64"/>
      <c r="G80" s="64"/>
      <c r="H80" s="64"/>
      <c r="I80" s="85"/>
      <c r="J80" s="56"/>
    </row>
    <row r="81" spans="1:10" ht="12.75">
      <c r="A81" s="76" t="s">
        <v>33</v>
      </c>
      <c r="B81" s="64"/>
      <c r="C81" s="64"/>
      <c r="D81" s="64"/>
      <c r="E81" s="65"/>
      <c r="F81" s="64"/>
      <c r="G81" s="64"/>
      <c r="H81" s="64"/>
      <c r="I81" s="85">
        <f>SUM(I72:I79)</f>
        <v>652.4100000000001</v>
      </c>
      <c r="J81" s="56"/>
    </row>
    <row r="82" spans="1:10" ht="12.75">
      <c r="A82" s="76" t="s">
        <v>34</v>
      </c>
      <c r="B82" s="64"/>
      <c r="C82" s="64"/>
      <c r="D82" s="64"/>
      <c r="E82" s="65"/>
      <c r="F82" s="64"/>
      <c r="G82" s="64"/>
      <c r="H82" s="64"/>
      <c r="I82" s="85">
        <f>I81/C7</f>
        <v>0.9320142857142858</v>
      </c>
      <c r="J82" s="56"/>
    </row>
    <row r="83" spans="1:10" ht="12">
      <c r="A83" s="64"/>
      <c r="B83" s="64"/>
      <c r="C83" s="64"/>
      <c r="D83" s="64"/>
      <c r="E83" s="65"/>
      <c r="F83" s="64"/>
      <c r="G83" s="64"/>
      <c r="H83" s="64"/>
      <c r="I83" s="85"/>
      <c r="J83" s="56"/>
    </row>
    <row r="84" spans="1:10" ht="12.75">
      <c r="A84" s="76" t="s">
        <v>35</v>
      </c>
      <c r="B84" s="64"/>
      <c r="C84" s="64"/>
      <c r="D84" s="64"/>
      <c r="E84" s="65"/>
      <c r="F84" s="64"/>
      <c r="G84" s="64"/>
      <c r="H84" s="64"/>
      <c r="I84" s="85">
        <f>I67+I81</f>
        <v>1789.465221875</v>
      </c>
      <c r="J84" s="56"/>
    </row>
    <row r="85" spans="1:10" ht="12.75">
      <c r="A85" s="76" t="s">
        <v>36</v>
      </c>
      <c r="B85" s="64"/>
      <c r="C85" s="64"/>
      <c r="D85" s="64"/>
      <c r="E85" s="65"/>
      <c r="F85" s="64"/>
      <c r="G85" s="64"/>
      <c r="H85" s="64"/>
      <c r="I85" s="85">
        <f>I84/C7</f>
        <v>2.556378888392857</v>
      </c>
      <c r="J85" s="56"/>
    </row>
    <row r="86" spans="1:10" ht="12">
      <c r="A86" s="64"/>
      <c r="B86" s="64"/>
      <c r="C86" s="64"/>
      <c r="D86" s="64"/>
      <c r="E86" s="65"/>
      <c r="F86" s="64"/>
      <c r="G86" s="64"/>
      <c r="H86" s="64"/>
      <c r="I86" s="85"/>
      <c r="J86" s="56"/>
    </row>
    <row r="87" spans="1:10" ht="12">
      <c r="A87" s="64" t="s">
        <v>37</v>
      </c>
      <c r="B87" s="64"/>
      <c r="C87" s="64"/>
      <c r="D87" s="64"/>
      <c r="E87" s="65"/>
      <c r="F87" s="64"/>
      <c r="G87" s="64"/>
      <c r="H87" s="64"/>
      <c r="I87" s="85">
        <f>I7-I84</f>
        <v>-249.46522187499977</v>
      </c>
      <c r="J87" s="56"/>
    </row>
    <row r="88" spans="1:10" ht="12">
      <c r="A88" s="59"/>
      <c r="B88" s="59"/>
      <c r="C88" s="59"/>
      <c r="D88" s="59"/>
      <c r="E88" s="60"/>
      <c r="F88" s="59"/>
      <c r="G88" s="59"/>
      <c r="H88" s="59"/>
      <c r="I88" s="61"/>
      <c r="J88" s="62"/>
    </row>
    <row r="89" spans="1:10" ht="12">
      <c r="A89" s="67" t="s">
        <v>87</v>
      </c>
      <c r="B89" s="67"/>
      <c r="C89" s="67"/>
      <c r="D89" s="67"/>
      <c r="E89" s="72"/>
      <c r="F89" s="67"/>
      <c r="G89" s="67"/>
      <c r="H89" s="67"/>
      <c r="I89" s="67"/>
      <c r="J89" s="105"/>
    </row>
    <row r="90" spans="1:10" ht="12">
      <c r="A90" s="238" t="s">
        <v>45</v>
      </c>
      <c r="B90" s="238"/>
      <c r="C90" s="238"/>
      <c r="D90" s="238"/>
      <c r="E90" s="238"/>
      <c r="F90" s="238"/>
      <c r="G90" s="238"/>
      <c r="H90" s="238"/>
      <c r="I90" s="238"/>
      <c r="J90" s="93"/>
    </row>
    <row r="91" spans="1:10" ht="12">
      <c r="A91" s="238"/>
      <c r="B91" s="238"/>
      <c r="C91" s="238"/>
      <c r="D91" s="238"/>
      <c r="E91" s="238"/>
      <c r="F91" s="238"/>
      <c r="G91" s="238"/>
      <c r="H91" s="238"/>
      <c r="I91" s="238"/>
      <c r="J91" s="93"/>
    </row>
    <row r="92" spans="1:10" ht="12">
      <c r="A92" s="238"/>
      <c r="B92" s="238"/>
      <c r="C92" s="238"/>
      <c r="D92" s="238"/>
      <c r="E92" s="238"/>
      <c r="F92" s="238"/>
      <c r="G92" s="238"/>
      <c r="H92" s="238"/>
      <c r="I92" s="238"/>
      <c r="J92" s="93"/>
    </row>
    <row r="93" spans="1:10" ht="12">
      <c r="A93" s="238"/>
      <c r="B93" s="238"/>
      <c r="C93" s="238"/>
      <c r="D93" s="238"/>
      <c r="E93" s="238"/>
      <c r="F93" s="238"/>
      <c r="G93" s="238"/>
      <c r="H93" s="238"/>
      <c r="I93" s="238"/>
      <c r="J93" s="93"/>
    </row>
    <row r="94" spans="1:10" ht="12">
      <c r="A94" s="238"/>
      <c r="B94" s="238"/>
      <c r="C94" s="238"/>
      <c r="D94" s="238"/>
      <c r="E94" s="238"/>
      <c r="F94" s="238"/>
      <c r="G94" s="238"/>
      <c r="H94" s="238"/>
      <c r="I94" s="238"/>
      <c r="J94" s="93"/>
    </row>
    <row r="95" spans="1:10" ht="12">
      <c r="A95" s="64"/>
      <c r="B95" s="64"/>
      <c r="C95" s="64"/>
      <c r="D95" s="64"/>
      <c r="E95" s="65"/>
      <c r="F95" s="64"/>
      <c r="G95" s="64"/>
      <c r="H95" s="64"/>
      <c r="I95" s="64"/>
      <c r="J95" s="93"/>
    </row>
    <row r="96" spans="1:10" ht="12.75">
      <c r="A96" s="106" t="s">
        <v>52</v>
      </c>
      <c r="B96" s="64"/>
      <c r="C96" s="107" t="s">
        <v>56</v>
      </c>
      <c r="D96" s="64"/>
      <c r="E96" s="65" t="s">
        <v>54</v>
      </c>
      <c r="F96" s="64"/>
      <c r="G96" s="107" t="s">
        <v>55</v>
      </c>
      <c r="H96" s="64"/>
      <c r="I96" s="64"/>
      <c r="J96" s="93"/>
    </row>
    <row r="97" spans="1:10" ht="12">
      <c r="A97" s="64"/>
      <c r="B97" s="64"/>
      <c r="C97" s="108">
        <v>0.1</v>
      </c>
      <c r="D97" s="64"/>
      <c r="E97" s="65"/>
      <c r="F97" s="64"/>
      <c r="G97" s="108">
        <v>0.1</v>
      </c>
      <c r="H97" s="64"/>
      <c r="I97" s="64"/>
      <c r="J97" s="93"/>
    </row>
    <row r="98" spans="1:10" ht="12">
      <c r="A98" s="64"/>
      <c r="B98" s="64"/>
      <c r="C98" s="109"/>
      <c r="D98" s="59"/>
      <c r="E98" s="58" t="s">
        <v>53</v>
      </c>
      <c r="F98" s="59"/>
      <c r="G98" s="109"/>
      <c r="H98" s="64"/>
      <c r="I98" s="64"/>
      <c r="J98" s="93"/>
    </row>
    <row r="99" spans="1:10" ht="12">
      <c r="A99" s="110" t="s">
        <v>49</v>
      </c>
      <c r="B99" s="64"/>
      <c r="C99" s="111">
        <f>E99*(1-C97)</f>
        <v>630</v>
      </c>
      <c r="D99" s="112"/>
      <c r="E99" s="113">
        <f>C7</f>
        <v>700</v>
      </c>
      <c r="F99" s="112"/>
      <c r="G99" s="114">
        <f>E99*(1+G97)</f>
        <v>770.0000000000001</v>
      </c>
      <c r="H99" s="64"/>
      <c r="I99" s="64"/>
      <c r="J99" s="93"/>
    </row>
    <row r="100" spans="1:10" ht="4.5" customHeight="1">
      <c r="A100" s="64"/>
      <c r="B100" s="64"/>
      <c r="C100" s="64"/>
      <c r="D100" s="64"/>
      <c r="E100" s="65"/>
      <c r="F100" s="64"/>
      <c r="G100" s="64"/>
      <c r="H100" s="64"/>
      <c r="I100" s="64"/>
      <c r="J100" s="93"/>
    </row>
    <row r="101" spans="1:10" ht="12">
      <c r="A101" s="64" t="s">
        <v>57</v>
      </c>
      <c r="B101" s="64"/>
      <c r="C101" s="115">
        <f>$I$67/C99</f>
        <v>1.804849558531746</v>
      </c>
      <c r="D101" s="64"/>
      <c r="E101" s="115">
        <f>$I$67/E99</f>
        <v>1.6243646026785714</v>
      </c>
      <c r="F101" s="64"/>
      <c r="G101" s="115">
        <f>$I$67/G99</f>
        <v>1.4766950933441556</v>
      </c>
      <c r="H101" s="64"/>
      <c r="I101" s="64"/>
      <c r="J101" s="93"/>
    </row>
    <row r="102" spans="1:10" ht="4.5" customHeight="1">
      <c r="A102" s="64"/>
      <c r="B102" s="64"/>
      <c r="C102" s="64"/>
      <c r="D102" s="64"/>
      <c r="E102" s="65"/>
      <c r="F102" s="64"/>
      <c r="G102" s="64"/>
      <c r="H102" s="64"/>
      <c r="I102" s="64"/>
      <c r="J102" s="93"/>
    </row>
    <row r="103" spans="1:10" ht="12">
      <c r="A103" s="64" t="s">
        <v>58</v>
      </c>
      <c r="B103" s="64"/>
      <c r="C103" s="115">
        <f>$I$81/C99</f>
        <v>1.0355714285714288</v>
      </c>
      <c r="D103" s="64"/>
      <c r="E103" s="115">
        <f>$I$81/E99</f>
        <v>0.9320142857142858</v>
      </c>
      <c r="F103" s="64"/>
      <c r="G103" s="115">
        <f>$I$81/G99</f>
        <v>0.8472857142857143</v>
      </c>
      <c r="H103" s="64"/>
      <c r="I103" s="64"/>
      <c r="J103" s="93"/>
    </row>
    <row r="104" spans="1:10" ht="3.75" customHeight="1">
      <c r="A104" s="64"/>
      <c r="B104" s="64"/>
      <c r="C104" s="64"/>
      <c r="D104" s="64"/>
      <c r="E104" s="65"/>
      <c r="F104" s="64"/>
      <c r="G104" s="64"/>
      <c r="H104" s="64"/>
      <c r="I104" s="64"/>
      <c r="J104" s="93"/>
    </row>
    <row r="105" spans="1:10" ht="12">
      <c r="A105" s="64" t="s">
        <v>59</v>
      </c>
      <c r="B105" s="64"/>
      <c r="C105" s="115">
        <f>$I$84/C99</f>
        <v>2.8404209871031747</v>
      </c>
      <c r="D105" s="64"/>
      <c r="E105" s="115">
        <f>$I$84/E99</f>
        <v>2.556378888392857</v>
      </c>
      <c r="F105" s="64"/>
      <c r="G105" s="115">
        <f>$I$84/G99</f>
        <v>2.32398080762987</v>
      </c>
      <c r="H105" s="64"/>
      <c r="I105" s="64"/>
      <c r="J105" s="93"/>
    </row>
    <row r="106" spans="1:10" ht="5.25" customHeight="1">
      <c r="A106" s="67"/>
      <c r="B106" s="67"/>
      <c r="C106" s="67"/>
      <c r="D106" s="67"/>
      <c r="E106" s="72"/>
      <c r="F106" s="67"/>
      <c r="G106" s="67"/>
      <c r="H106" s="67"/>
      <c r="I106" s="67"/>
      <c r="J106" s="93"/>
    </row>
    <row r="107" spans="1:10" ht="12">
      <c r="A107" s="64"/>
      <c r="B107" s="64"/>
      <c r="C107" s="64"/>
      <c r="D107" s="64"/>
      <c r="E107" s="65"/>
      <c r="F107" s="64"/>
      <c r="G107" s="64"/>
      <c r="H107" s="64"/>
      <c r="I107" s="64"/>
      <c r="J107" s="93"/>
    </row>
    <row r="108" spans="1:10" ht="12">
      <c r="A108" s="64"/>
      <c r="B108" s="64"/>
      <c r="C108" s="59"/>
      <c r="D108" s="59"/>
      <c r="E108" s="60" t="s">
        <v>49</v>
      </c>
      <c r="F108" s="59"/>
      <c r="G108" s="59"/>
      <c r="H108" s="64"/>
      <c r="I108" s="64"/>
      <c r="J108" s="93"/>
    </row>
    <row r="109" spans="1:10" ht="12">
      <c r="A109" s="110" t="s">
        <v>53</v>
      </c>
      <c r="B109" s="64"/>
      <c r="C109" s="116">
        <f>E109*(1-C97)</f>
        <v>1.9800000000000002</v>
      </c>
      <c r="D109" s="112"/>
      <c r="E109" s="117">
        <f>G7</f>
        <v>2.2</v>
      </c>
      <c r="F109" s="112"/>
      <c r="G109" s="116">
        <f>E109*(1+G97)</f>
        <v>2.4200000000000004</v>
      </c>
      <c r="H109" s="64"/>
      <c r="I109" s="64"/>
      <c r="J109" s="93"/>
    </row>
    <row r="110" spans="1:10" ht="4.5" customHeight="1">
      <c r="A110" s="64"/>
      <c r="B110" s="64"/>
      <c r="C110" s="64"/>
      <c r="D110" s="64"/>
      <c r="E110" s="65"/>
      <c r="F110" s="64"/>
      <c r="G110" s="64"/>
      <c r="H110" s="64"/>
      <c r="I110" s="64"/>
      <c r="J110" s="93"/>
    </row>
    <row r="111" spans="1:10" ht="12">
      <c r="A111" s="64" t="s">
        <v>57</v>
      </c>
      <c r="B111" s="64"/>
      <c r="C111" s="118">
        <f>$I$67/C109</f>
        <v>574.2703140782827</v>
      </c>
      <c r="D111" s="64"/>
      <c r="E111" s="118">
        <f>$I$67/E109</f>
        <v>516.8432826704544</v>
      </c>
      <c r="F111" s="64"/>
      <c r="G111" s="118">
        <f>$I$67/G109</f>
        <v>469.8575297004131</v>
      </c>
      <c r="H111" s="64"/>
      <c r="I111" s="64"/>
      <c r="J111" s="93"/>
    </row>
    <row r="112" spans="1:10" ht="3" customHeight="1">
      <c r="A112" s="64"/>
      <c r="B112" s="64"/>
      <c r="C112" s="64"/>
      <c r="D112" s="64"/>
      <c r="E112" s="65"/>
      <c r="F112" s="64"/>
      <c r="G112" s="64"/>
      <c r="H112" s="64"/>
      <c r="I112" s="64"/>
      <c r="J112" s="93"/>
    </row>
    <row r="113" spans="1:10" ht="12">
      <c r="A113" s="64" t="s">
        <v>58</v>
      </c>
      <c r="B113" s="64"/>
      <c r="C113" s="118">
        <f>$I$81/C109</f>
        <v>329.5</v>
      </c>
      <c r="D113" s="64"/>
      <c r="E113" s="118">
        <f>$I$81/E109</f>
        <v>296.55</v>
      </c>
      <c r="F113" s="64"/>
      <c r="G113" s="118">
        <f>$I$81/G109</f>
        <v>269.59090909090907</v>
      </c>
      <c r="H113" s="64"/>
      <c r="I113" s="64"/>
      <c r="J113" s="93"/>
    </row>
    <row r="114" spans="1:10" ht="3.75" customHeight="1">
      <c r="A114" s="64"/>
      <c r="B114" s="64"/>
      <c r="C114" s="64"/>
      <c r="D114" s="64"/>
      <c r="E114" s="65"/>
      <c r="F114" s="64"/>
      <c r="G114" s="64"/>
      <c r="H114" s="64"/>
      <c r="I114" s="64"/>
      <c r="J114" s="93"/>
    </row>
    <row r="115" spans="1:10" ht="12">
      <c r="A115" s="64" t="s">
        <v>59</v>
      </c>
      <c r="B115" s="64"/>
      <c r="C115" s="118">
        <f>$I$84/C109</f>
        <v>903.7703140782827</v>
      </c>
      <c r="D115" s="64"/>
      <c r="E115" s="118">
        <f>$I$84/E109</f>
        <v>813.3932826704545</v>
      </c>
      <c r="F115" s="64"/>
      <c r="G115" s="118">
        <f>$I$84/G109</f>
        <v>739.4484387913222</v>
      </c>
      <c r="H115" s="64"/>
      <c r="I115" s="64"/>
      <c r="J115" s="93"/>
    </row>
    <row r="116" spans="1:10" ht="5.25" customHeight="1">
      <c r="A116" s="64"/>
      <c r="B116" s="64"/>
      <c r="C116" s="64"/>
      <c r="D116" s="64"/>
      <c r="E116" s="65"/>
      <c r="F116" s="64"/>
      <c r="G116" s="64"/>
      <c r="H116" s="64"/>
      <c r="I116" s="64"/>
      <c r="J116" s="93"/>
    </row>
    <row r="117" spans="1:10" ht="12">
      <c r="A117" s="59"/>
      <c r="B117" s="59"/>
      <c r="C117" s="59"/>
      <c r="D117" s="59"/>
      <c r="E117" s="60"/>
      <c r="F117" s="59"/>
      <c r="G117" s="59"/>
      <c r="H117" s="59"/>
      <c r="I117" s="59"/>
      <c r="J117" s="93"/>
    </row>
    <row r="118" spans="1:10" ht="12">
      <c r="A118" s="64"/>
      <c r="B118" s="64"/>
      <c r="C118" s="64"/>
      <c r="D118" s="64"/>
      <c r="E118" s="65"/>
      <c r="F118" s="64"/>
      <c r="G118" s="64"/>
      <c r="H118" s="64"/>
      <c r="I118" s="64"/>
      <c r="J118" s="93"/>
    </row>
    <row r="119" spans="1:10" ht="12">
      <c r="A119" s="119" t="s">
        <v>62</v>
      </c>
      <c r="B119" s="64"/>
      <c r="C119" s="237"/>
      <c r="D119" s="237"/>
      <c r="E119" s="237"/>
      <c r="F119" s="64"/>
      <c r="G119" s="64"/>
      <c r="H119" s="64"/>
      <c r="I119" s="64"/>
      <c r="J119" s="93"/>
    </row>
    <row r="120" spans="1:10" ht="12">
      <c r="A120" s="119" t="s">
        <v>60</v>
      </c>
      <c r="B120" s="64"/>
      <c r="C120" s="237"/>
      <c r="D120" s="237"/>
      <c r="E120" s="237"/>
      <c r="F120" s="237"/>
      <c r="G120" s="237"/>
      <c r="H120" s="64"/>
      <c r="I120" s="64"/>
      <c r="J120" s="93"/>
    </row>
    <row r="121" spans="1:10" ht="12">
      <c r="A121" s="119" t="s">
        <v>61</v>
      </c>
      <c r="B121" s="64"/>
      <c r="C121" s="237"/>
      <c r="D121" s="237"/>
      <c r="E121" s="237"/>
      <c r="F121" s="237"/>
      <c r="G121" s="237"/>
      <c r="H121" s="64"/>
      <c r="I121" s="64"/>
      <c r="J121" s="93"/>
    </row>
    <row r="122" spans="1:10" ht="12">
      <c r="A122" s="64"/>
      <c r="B122" s="64"/>
      <c r="C122" s="237"/>
      <c r="D122" s="237"/>
      <c r="E122" s="237"/>
      <c r="F122" s="237"/>
      <c r="G122" s="237"/>
      <c r="H122" s="64"/>
      <c r="I122" s="64"/>
      <c r="J122" s="93"/>
    </row>
    <row r="123" spans="1:10" ht="12">
      <c r="A123" s="64"/>
      <c r="B123" s="64"/>
      <c r="C123" s="237"/>
      <c r="D123" s="237"/>
      <c r="E123" s="237"/>
      <c r="F123" s="237"/>
      <c r="G123" s="237"/>
      <c r="H123" s="64"/>
      <c r="I123" s="64"/>
      <c r="J123" s="93"/>
    </row>
    <row r="124" spans="1:10" ht="12">
      <c r="A124" s="64"/>
      <c r="B124" s="64"/>
      <c r="C124" s="64"/>
      <c r="D124" s="64"/>
      <c r="E124" s="65"/>
      <c r="F124" s="64"/>
      <c r="G124" s="64"/>
      <c r="H124" s="64"/>
      <c r="I124" s="64"/>
      <c r="J124" s="93"/>
    </row>
  </sheetData>
  <sheetProtection/>
  <mergeCells count="24">
    <mergeCell ref="A77:C77"/>
    <mergeCell ref="D77:H77"/>
    <mergeCell ref="A78:C78"/>
    <mergeCell ref="D78:H78"/>
    <mergeCell ref="C122:G122"/>
    <mergeCell ref="C123:G123"/>
    <mergeCell ref="A79:C79"/>
    <mergeCell ref="D79:H79"/>
    <mergeCell ref="A90:I94"/>
    <mergeCell ref="C119:E119"/>
    <mergeCell ref="C120:G120"/>
    <mergeCell ref="C121:G121"/>
    <mergeCell ref="A74:C74"/>
    <mergeCell ref="D74:H74"/>
    <mergeCell ref="A75:C75"/>
    <mergeCell ref="D75:H75"/>
    <mergeCell ref="A76:C76"/>
    <mergeCell ref="D76:H76"/>
    <mergeCell ref="A1:J1"/>
    <mergeCell ref="L7:P7"/>
    <mergeCell ref="L8:Q8"/>
    <mergeCell ref="C65:G65"/>
    <mergeCell ref="A73:C73"/>
    <mergeCell ref="D73:H7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38"/>
  <sheetViews>
    <sheetView zoomScalePageLayoutView="0" workbookViewId="0" topLeftCell="A1">
      <selection activeCell="E45" sqref="E45"/>
    </sheetView>
  </sheetViews>
  <sheetFormatPr defaultColWidth="9.140625" defaultRowHeight="12.75"/>
  <cols>
    <col min="1" max="1" width="19.140625" style="0" customWidth="1"/>
    <col min="2" max="2" width="58.28125" style="0" customWidth="1"/>
    <col min="3" max="3" width="56.140625" style="0" customWidth="1"/>
  </cols>
  <sheetData>
    <row r="1" ht="24.75" customHeight="1">
      <c r="B1" s="47" t="s">
        <v>396</v>
      </c>
    </row>
    <row r="2" spans="1:3" ht="12">
      <c r="A2" s="39" t="s">
        <v>165</v>
      </c>
      <c r="B2" s="40" t="s">
        <v>166</v>
      </c>
      <c r="C2" s="39" t="s">
        <v>167</v>
      </c>
    </row>
    <row r="4" spans="1:3" ht="12">
      <c r="A4" s="43" t="s">
        <v>397</v>
      </c>
      <c r="B4" t="s">
        <v>78</v>
      </c>
      <c r="C4" s="43" t="s">
        <v>347</v>
      </c>
    </row>
    <row r="5" ht="3" customHeight="1"/>
    <row r="6" spans="1:3" ht="12">
      <c r="A6" s="43" t="s">
        <v>398</v>
      </c>
      <c r="B6" t="s">
        <v>257</v>
      </c>
      <c r="C6" s="41" t="s">
        <v>348</v>
      </c>
    </row>
    <row r="7" ht="6" customHeight="1"/>
    <row r="8" spans="1:3" ht="12">
      <c r="A8" s="43" t="s">
        <v>399</v>
      </c>
      <c r="B8" t="s">
        <v>258</v>
      </c>
      <c r="C8" s="41" t="s">
        <v>347</v>
      </c>
    </row>
    <row r="9" ht="4.5" customHeight="1"/>
    <row r="10" spans="1:3" ht="12">
      <c r="A10" s="43" t="s">
        <v>400</v>
      </c>
      <c r="B10" s="4" t="s">
        <v>90</v>
      </c>
      <c r="C10" s="43" t="s">
        <v>410</v>
      </c>
    </row>
    <row r="11" ht="5.25" customHeight="1"/>
    <row r="12" spans="1:3" ht="15" customHeight="1">
      <c r="A12" s="41" t="s">
        <v>401</v>
      </c>
      <c r="B12" s="42" t="s">
        <v>169</v>
      </c>
      <c r="C12" s="41" t="s">
        <v>170</v>
      </c>
    </row>
    <row r="13" spans="1:3" ht="6" customHeight="1">
      <c r="A13" s="43"/>
      <c r="B13" s="42"/>
      <c r="C13" s="41"/>
    </row>
    <row r="14" spans="1:3" ht="15.75" customHeight="1">
      <c r="A14" s="41" t="s">
        <v>408</v>
      </c>
      <c r="B14" s="42" t="s">
        <v>228</v>
      </c>
      <c r="C14" s="41" t="s">
        <v>170</v>
      </c>
    </row>
    <row r="15" spans="1:3" ht="6" customHeight="1">
      <c r="A15" s="41"/>
      <c r="C15" s="41"/>
    </row>
    <row r="16" spans="1:3" ht="12">
      <c r="A16" s="41" t="s">
        <v>409</v>
      </c>
      <c r="B16" s="43" t="s">
        <v>259</v>
      </c>
      <c r="C16" s="41" t="s">
        <v>229</v>
      </c>
    </row>
    <row r="17" spans="1:3" ht="5.25" customHeight="1">
      <c r="A17" s="41"/>
      <c r="B17" s="43"/>
      <c r="C17" s="41"/>
    </row>
    <row r="18" spans="1:3" ht="3.75" customHeight="1">
      <c r="A18" s="44"/>
      <c r="C18" s="44"/>
    </row>
    <row r="19" spans="1:3" ht="12">
      <c r="A19" s="41" t="s">
        <v>402</v>
      </c>
      <c r="B19" s="43" t="s">
        <v>171</v>
      </c>
      <c r="C19" s="41" t="s">
        <v>349</v>
      </c>
    </row>
    <row r="20" spans="1:3" ht="4.5" customHeight="1">
      <c r="A20" s="44"/>
      <c r="C20" s="41"/>
    </row>
    <row r="21" spans="1:3" ht="12">
      <c r="A21" s="41" t="s">
        <v>403</v>
      </c>
      <c r="B21" s="43" t="s">
        <v>172</v>
      </c>
      <c r="C21" s="41" t="s">
        <v>349</v>
      </c>
    </row>
    <row r="22" ht="5.25" customHeight="1"/>
    <row r="23" spans="1:3" ht="12">
      <c r="A23" s="41" t="s">
        <v>404</v>
      </c>
      <c r="B23" s="43" t="s">
        <v>173</v>
      </c>
      <c r="C23" s="41" t="s">
        <v>349</v>
      </c>
    </row>
    <row r="24" spans="1:3" ht="5.25" customHeight="1">
      <c r="A24" s="41"/>
      <c r="B24" s="43"/>
      <c r="C24" s="45"/>
    </row>
    <row r="25" spans="1:3" ht="12">
      <c r="A25" s="41" t="s">
        <v>405</v>
      </c>
      <c r="B25" s="43" t="s">
        <v>67</v>
      </c>
      <c r="C25" s="41" t="s">
        <v>350</v>
      </c>
    </row>
    <row r="26" spans="1:3" ht="6" customHeight="1">
      <c r="A26" s="41"/>
      <c r="B26" s="43"/>
      <c r="C26" s="41"/>
    </row>
    <row r="27" spans="1:3" ht="15.75" customHeight="1">
      <c r="A27" s="41" t="s">
        <v>406</v>
      </c>
      <c r="B27" s="222" t="s">
        <v>286</v>
      </c>
      <c r="C27" s="43" t="s">
        <v>351</v>
      </c>
    </row>
    <row r="28" spans="1:3" ht="7.5" customHeight="1">
      <c r="A28" s="41"/>
      <c r="B28" s="222"/>
      <c r="C28" s="41"/>
    </row>
    <row r="29" spans="1:3" ht="12.75" customHeight="1">
      <c r="A29" s="41" t="s">
        <v>407</v>
      </c>
      <c r="B29" s="222" t="s">
        <v>288</v>
      </c>
      <c r="C29" s="43" t="s">
        <v>351</v>
      </c>
    </row>
    <row r="30" spans="1:3" ht="12">
      <c r="A30" s="2"/>
      <c r="B30" s="2"/>
      <c r="C30" s="2"/>
    </row>
    <row r="32" spans="1:3" ht="12">
      <c r="A32" s="43" t="s">
        <v>174</v>
      </c>
      <c r="B32" s="43" t="s">
        <v>175</v>
      </c>
      <c r="C32" s="46" t="s">
        <v>176</v>
      </c>
    </row>
    <row r="33" spans="1:3" ht="12">
      <c r="A33" s="43" t="s">
        <v>344</v>
      </c>
      <c r="B33" s="43" t="s">
        <v>345</v>
      </c>
      <c r="C33" s="46" t="s">
        <v>346</v>
      </c>
    </row>
    <row r="34" spans="1:3" ht="12">
      <c r="A34" s="43" t="s">
        <v>177</v>
      </c>
      <c r="B34" s="43" t="s">
        <v>178</v>
      </c>
      <c r="C34" s="46" t="s">
        <v>179</v>
      </c>
    </row>
    <row r="35" spans="1:3" ht="12">
      <c r="A35" s="43" t="s">
        <v>190</v>
      </c>
      <c r="B35" s="43" t="s">
        <v>191</v>
      </c>
      <c r="C35" s="46" t="s">
        <v>192</v>
      </c>
    </row>
    <row r="36" spans="1:3" ht="12">
      <c r="A36" s="43" t="s">
        <v>183</v>
      </c>
      <c r="B36" s="43" t="s">
        <v>184</v>
      </c>
      <c r="C36" s="46" t="s">
        <v>185</v>
      </c>
    </row>
    <row r="37" spans="1:3" ht="12">
      <c r="A37" s="43" t="s">
        <v>186</v>
      </c>
      <c r="B37" s="43" t="s">
        <v>187</v>
      </c>
      <c r="C37" s="46" t="s">
        <v>188</v>
      </c>
    </row>
    <row r="38" spans="1:3" ht="12">
      <c r="A38" s="43" t="s">
        <v>180</v>
      </c>
      <c r="B38" s="43" t="s">
        <v>181</v>
      </c>
      <c r="C38" s="46" t="s">
        <v>182</v>
      </c>
    </row>
  </sheetData>
  <sheetProtection/>
  <hyperlinks>
    <hyperlink ref="C32" r:id="rId1" display="pattersn@uidaho.edu"/>
    <hyperlink ref="C34" r:id="rId2" display="nrimbey@uidaho.edu"/>
    <hyperlink ref="C36" r:id="rId3" display="scottj@uidaho.edu"/>
    <hyperlink ref="C37" r:id="rId4" display="jerryn@uidaho.edu"/>
    <hyperlink ref="C38" r:id="rId5" display="miket@uidaho.edu"/>
    <hyperlink ref="C35" r:id="rId6" display="lynn.jensen@oregonstate.edu"/>
    <hyperlink ref="C33" r:id="rId7" display="kpainter@uidaho.edu"/>
  </hyperlinks>
  <printOptions/>
  <pageMargins left="0.7" right="0.7" top="0.75" bottom="0.75" header="0.3" footer="0.3"/>
  <pageSetup horizontalDpi="600" verticalDpi="600" orientation="landscape" scale="91" r:id="rId8"/>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1" width="23.7109375" style="0" customWidth="1"/>
    <col min="2" max="2" width="10.421875" style="11" customWidth="1"/>
    <col min="3" max="3" width="11.00390625" style="11" customWidth="1"/>
    <col min="4" max="4" width="10.28125" style="11" customWidth="1"/>
    <col min="5" max="5" width="9.7109375" style="11" customWidth="1"/>
    <col min="6" max="6" width="11.00390625" style="11" customWidth="1"/>
    <col min="7" max="7" width="10.8515625" style="11" customWidth="1"/>
    <col min="8" max="8" width="9.7109375" style="11" customWidth="1"/>
    <col min="9" max="9" width="10.140625" style="11" customWidth="1"/>
  </cols>
  <sheetData>
    <row r="1" spans="1:9" ht="18" customHeight="1">
      <c r="A1" s="12" t="s">
        <v>102</v>
      </c>
      <c r="B1" s="13"/>
      <c r="C1" s="13"/>
      <c r="D1" s="13"/>
      <c r="E1" s="13"/>
      <c r="F1" s="13"/>
      <c r="G1" s="13"/>
      <c r="H1" s="13"/>
      <c r="I1" s="13"/>
    </row>
    <row r="2" spans="1:9" ht="12">
      <c r="A2" s="5"/>
      <c r="B2" s="13"/>
      <c r="C2" s="13"/>
      <c r="D2" s="13"/>
      <c r="E2" s="13"/>
      <c r="F2" s="13"/>
      <c r="G2" s="13"/>
      <c r="H2" s="13"/>
      <c r="I2" s="13"/>
    </row>
    <row r="3" spans="1:9" ht="12">
      <c r="A3" s="5"/>
      <c r="B3" s="13"/>
      <c r="C3" s="13"/>
      <c r="D3" s="13"/>
      <c r="E3" s="13"/>
      <c r="F3" s="13"/>
      <c r="G3" s="13"/>
      <c r="H3" s="13"/>
      <c r="I3" s="13"/>
    </row>
    <row r="4" spans="1:9" ht="12">
      <c r="A4" s="14"/>
      <c r="B4" s="15" t="s">
        <v>103</v>
      </c>
      <c r="C4" s="15" t="s">
        <v>104</v>
      </c>
      <c r="D4" s="15" t="s">
        <v>105</v>
      </c>
      <c r="E4" s="15" t="s">
        <v>106</v>
      </c>
      <c r="F4" s="15" t="s">
        <v>107</v>
      </c>
      <c r="G4" s="15" t="s">
        <v>108</v>
      </c>
      <c r="H4" s="15" t="s">
        <v>109</v>
      </c>
      <c r="I4" s="15" t="s">
        <v>110</v>
      </c>
    </row>
    <row r="5" spans="1:9" ht="12">
      <c r="A5" s="6" t="s">
        <v>1</v>
      </c>
      <c r="B5" s="8" t="s">
        <v>111</v>
      </c>
      <c r="C5" s="8" t="s">
        <v>49</v>
      </c>
      <c r="D5" s="8" t="s">
        <v>111</v>
      </c>
      <c r="E5" s="8" t="s">
        <v>112</v>
      </c>
      <c r="F5" s="8" t="s">
        <v>112</v>
      </c>
      <c r="G5" s="8" t="s">
        <v>113</v>
      </c>
      <c r="H5" s="8" t="s">
        <v>113</v>
      </c>
      <c r="I5" s="8" t="s">
        <v>114</v>
      </c>
    </row>
    <row r="6" spans="1:9" ht="5.25" customHeight="1">
      <c r="A6" s="5"/>
      <c r="B6" s="13"/>
      <c r="C6" s="13"/>
      <c r="D6" s="13"/>
      <c r="E6" s="13"/>
      <c r="F6" s="13"/>
      <c r="G6" s="13"/>
      <c r="H6" s="13"/>
      <c r="I6" s="13"/>
    </row>
    <row r="7" spans="1:9" ht="12">
      <c r="A7" s="28" t="s">
        <v>115</v>
      </c>
      <c r="B7" s="29">
        <v>70000</v>
      </c>
      <c r="C7" s="29">
        <v>90000</v>
      </c>
      <c r="D7" s="29">
        <v>15000</v>
      </c>
      <c r="E7" s="16">
        <v>15</v>
      </c>
      <c r="F7" s="16">
        <v>10</v>
      </c>
      <c r="G7" s="17">
        <v>0.001</v>
      </c>
      <c r="H7" s="17">
        <v>0.08</v>
      </c>
      <c r="I7" s="17">
        <v>0.4</v>
      </c>
    </row>
    <row r="8" spans="1:9" ht="12">
      <c r="A8" s="28" t="s">
        <v>116</v>
      </c>
      <c r="B8" s="29">
        <v>18000</v>
      </c>
      <c r="C8" s="29">
        <v>23000</v>
      </c>
      <c r="D8" s="29">
        <v>3000</v>
      </c>
      <c r="E8" s="16">
        <v>12</v>
      </c>
      <c r="F8" s="16">
        <v>8</v>
      </c>
      <c r="G8" s="17">
        <v>0.001</v>
      </c>
      <c r="H8" s="17">
        <v>0.08</v>
      </c>
      <c r="I8" s="17">
        <v>0.3</v>
      </c>
    </row>
    <row r="9" spans="1:9" ht="12">
      <c r="A9" s="28" t="s">
        <v>117</v>
      </c>
      <c r="B9" s="29"/>
      <c r="C9" s="29"/>
      <c r="D9" s="29"/>
      <c r="E9" s="16">
        <v>1</v>
      </c>
      <c r="F9" s="16"/>
      <c r="G9" s="17"/>
      <c r="H9" s="17"/>
      <c r="I9" s="17"/>
    </row>
    <row r="10" spans="1:9" ht="12">
      <c r="A10" s="28" t="s">
        <v>50</v>
      </c>
      <c r="B10" s="29"/>
      <c r="C10" s="29"/>
      <c r="D10" s="29"/>
      <c r="E10" s="16">
        <v>1</v>
      </c>
      <c r="F10" s="16"/>
      <c r="G10" s="17"/>
      <c r="H10" s="17"/>
      <c r="I10" s="17"/>
    </row>
    <row r="11" spans="1:9" ht="12">
      <c r="A11" s="28" t="s">
        <v>50</v>
      </c>
      <c r="B11" s="29"/>
      <c r="C11" s="29"/>
      <c r="D11" s="29"/>
      <c r="E11" s="16">
        <v>1</v>
      </c>
      <c r="F11" s="16"/>
      <c r="G11" s="17"/>
      <c r="H11" s="17"/>
      <c r="I11" s="17"/>
    </row>
    <row r="12" spans="1:9" ht="12">
      <c r="A12" s="28" t="s">
        <v>50</v>
      </c>
      <c r="B12" s="29"/>
      <c r="C12" s="29"/>
      <c r="D12" s="29"/>
      <c r="E12" s="16">
        <v>1</v>
      </c>
      <c r="F12" s="16"/>
      <c r="G12" s="17"/>
      <c r="H12" s="17"/>
      <c r="I12" s="17"/>
    </row>
    <row r="13" spans="1:9" ht="12">
      <c r="A13" s="28" t="s">
        <v>50</v>
      </c>
      <c r="B13" s="29"/>
      <c r="C13" s="29"/>
      <c r="D13" s="29"/>
      <c r="E13" s="16">
        <v>1</v>
      </c>
      <c r="F13" s="16"/>
      <c r="G13" s="17"/>
      <c r="H13" s="17"/>
      <c r="I13" s="17"/>
    </row>
    <row r="14" spans="1:9" ht="12">
      <c r="A14" s="28" t="s">
        <v>50</v>
      </c>
      <c r="B14" s="29"/>
      <c r="C14" s="29"/>
      <c r="D14" s="29"/>
      <c r="E14" s="16">
        <v>1</v>
      </c>
      <c r="F14" s="16"/>
      <c r="G14" s="17"/>
      <c r="H14" s="17"/>
      <c r="I14" s="17"/>
    </row>
    <row r="15" spans="1:9" ht="12">
      <c r="A15" s="28" t="s">
        <v>50</v>
      </c>
      <c r="B15" s="29"/>
      <c r="C15" s="29"/>
      <c r="D15" s="29"/>
      <c r="E15" s="16">
        <v>1</v>
      </c>
      <c r="F15" s="16"/>
      <c r="G15" s="17"/>
      <c r="H15" s="17"/>
      <c r="I15" s="17"/>
    </row>
    <row r="16" spans="1:9" ht="12">
      <c r="A16" s="28" t="s">
        <v>50</v>
      </c>
      <c r="B16" s="29"/>
      <c r="C16" s="29"/>
      <c r="D16" s="29"/>
      <c r="E16" s="16">
        <v>1</v>
      </c>
      <c r="F16" s="16"/>
      <c r="G16" s="17"/>
      <c r="H16" s="17"/>
      <c r="I16" s="17"/>
    </row>
    <row r="17" spans="1:9" ht="12">
      <c r="A17" s="28" t="s">
        <v>50</v>
      </c>
      <c r="B17" s="29"/>
      <c r="C17" s="29"/>
      <c r="D17" s="29"/>
      <c r="E17" s="16">
        <v>1</v>
      </c>
      <c r="F17" s="16"/>
      <c r="G17" s="17"/>
      <c r="H17" s="17"/>
      <c r="I17" s="17"/>
    </row>
    <row r="18" spans="1:9" ht="12">
      <c r="A18" s="28" t="s">
        <v>50</v>
      </c>
      <c r="B18" s="29"/>
      <c r="C18" s="29"/>
      <c r="D18" s="29"/>
      <c r="E18" s="16">
        <v>1</v>
      </c>
      <c r="F18" s="16"/>
      <c r="G18" s="17"/>
      <c r="H18" s="17"/>
      <c r="I18" s="17"/>
    </row>
    <row r="19" spans="1:9" ht="12">
      <c r="A19" s="28" t="s">
        <v>50</v>
      </c>
      <c r="B19" s="29"/>
      <c r="C19" s="29"/>
      <c r="D19" s="29"/>
      <c r="E19" s="16">
        <v>1</v>
      </c>
      <c r="F19" s="16"/>
      <c r="G19" s="17"/>
      <c r="H19" s="17"/>
      <c r="I19" s="17"/>
    </row>
    <row r="20" spans="1:9" ht="12">
      <c r="A20" s="28" t="s">
        <v>50</v>
      </c>
      <c r="B20" s="29"/>
      <c r="C20" s="29"/>
      <c r="D20" s="29"/>
      <c r="E20" s="16">
        <v>1</v>
      </c>
      <c r="F20" s="16"/>
      <c r="G20" s="17"/>
      <c r="H20" s="17"/>
      <c r="I20" s="17"/>
    </row>
    <row r="21" spans="1:9" ht="12">
      <c r="A21" s="28" t="s">
        <v>50</v>
      </c>
      <c r="B21" s="29"/>
      <c r="C21" s="29"/>
      <c r="D21" s="29"/>
      <c r="E21" s="16">
        <v>1</v>
      </c>
      <c r="F21" s="16"/>
      <c r="G21" s="17"/>
      <c r="H21" s="17"/>
      <c r="I21" s="17"/>
    </row>
    <row r="22" spans="1:9" ht="12">
      <c r="A22" s="28" t="s">
        <v>50</v>
      </c>
      <c r="B22" s="29"/>
      <c r="C22" s="29"/>
      <c r="D22" s="29"/>
      <c r="E22" s="16">
        <v>1</v>
      </c>
      <c r="F22" s="16"/>
      <c r="G22" s="17"/>
      <c r="H22" s="17"/>
      <c r="I22" s="17"/>
    </row>
    <row r="23" spans="1:9" ht="12">
      <c r="A23" s="28" t="s">
        <v>50</v>
      </c>
      <c r="B23" s="29"/>
      <c r="C23" s="29"/>
      <c r="D23" s="29"/>
      <c r="E23" s="16">
        <v>1</v>
      </c>
      <c r="F23" s="16"/>
      <c r="G23" s="17"/>
      <c r="H23" s="17"/>
      <c r="I23" s="17"/>
    </row>
    <row r="24" spans="1:9" ht="12">
      <c r="A24" s="28" t="s">
        <v>50</v>
      </c>
      <c r="B24" s="29"/>
      <c r="C24" s="29"/>
      <c r="D24" s="29"/>
      <c r="E24" s="16">
        <v>1</v>
      </c>
      <c r="F24" s="16"/>
      <c r="G24" s="17"/>
      <c r="H24" s="17"/>
      <c r="I24" s="17"/>
    </row>
    <row r="25" spans="1:9" ht="12">
      <c r="A25" s="28" t="s">
        <v>50</v>
      </c>
      <c r="B25" s="29"/>
      <c r="C25" s="29"/>
      <c r="D25" s="29"/>
      <c r="E25" s="16">
        <v>1</v>
      </c>
      <c r="F25" s="16"/>
      <c r="G25" s="17"/>
      <c r="H25" s="17"/>
      <c r="I25" s="17"/>
    </row>
    <row r="26" spans="1:9" ht="12">
      <c r="A26" s="28" t="s">
        <v>50</v>
      </c>
      <c r="B26" s="29"/>
      <c r="C26" s="29"/>
      <c r="D26" s="29"/>
      <c r="E26" s="16">
        <v>1</v>
      </c>
      <c r="F26" s="16"/>
      <c r="G26" s="17"/>
      <c r="H26" s="17"/>
      <c r="I26" s="17"/>
    </row>
    <row r="27" spans="1:9" ht="12">
      <c r="A27" s="28" t="s">
        <v>50</v>
      </c>
      <c r="B27" s="29"/>
      <c r="C27" s="29"/>
      <c r="D27" s="29"/>
      <c r="E27" s="16">
        <v>1</v>
      </c>
      <c r="F27" s="16"/>
      <c r="G27" s="17"/>
      <c r="H27" s="17"/>
      <c r="I27" s="17"/>
    </row>
    <row r="28" spans="1:9" ht="12">
      <c r="A28" s="28" t="s">
        <v>50</v>
      </c>
      <c r="B28" s="29"/>
      <c r="C28" s="29"/>
      <c r="D28" s="29"/>
      <c r="E28" s="16">
        <v>1</v>
      </c>
      <c r="F28" s="16"/>
      <c r="G28" s="17"/>
      <c r="H28" s="17"/>
      <c r="I28" s="17"/>
    </row>
    <row r="29" spans="1:9" ht="12">
      <c r="A29" s="28" t="s">
        <v>50</v>
      </c>
      <c r="B29" s="29"/>
      <c r="C29" s="29"/>
      <c r="D29" s="29"/>
      <c r="E29" s="16">
        <v>1</v>
      </c>
      <c r="F29" s="16"/>
      <c r="G29" s="17"/>
      <c r="H29" s="17"/>
      <c r="I29" s="17"/>
    </row>
    <row r="30" spans="1:9" ht="12">
      <c r="A30" s="28" t="s">
        <v>50</v>
      </c>
      <c r="B30" s="29"/>
      <c r="C30" s="29"/>
      <c r="D30" s="29"/>
      <c r="E30" s="16">
        <v>1</v>
      </c>
      <c r="F30" s="16"/>
      <c r="G30" s="17"/>
      <c r="H30" s="17"/>
      <c r="I30" s="17"/>
    </row>
    <row r="31" spans="1:9" ht="7.5" customHeight="1">
      <c r="A31" s="18" t="s">
        <v>50</v>
      </c>
      <c r="B31" s="19"/>
      <c r="C31" s="19"/>
      <c r="D31" s="19"/>
      <c r="E31" s="19"/>
      <c r="F31" s="19"/>
      <c r="G31" s="19"/>
      <c r="H31" s="19"/>
      <c r="I31" s="19"/>
    </row>
  </sheetData>
  <sheetProtection sheet="1" objects="1" scenarios="1"/>
  <printOptions/>
  <pageMargins left="0.75" right="0.75" top="1" bottom="1" header="0.5" footer="0.5"/>
  <pageSetup horizontalDpi="600" verticalDpi="600" orientation="portrait" r:id="rId1"/>
  <headerFooter alignWithMargins="0">
    <oddFooter>&amp;L&amp;A&amp;CUniversity of Idaho</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95" zoomScaleNormal="95"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3.7109375" style="0" customWidth="1"/>
    <col min="2" max="2" width="10.57421875" style="11" customWidth="1"/>
    <col min="3" max="3" width="11.421875" style="11" customWidth="1"/>
    <col min="4" max="4" width="11.8515625" style="11" customWidth="1"/>
    <col min="5" max="5" width="12.00390625" style="11" customWidth="1"/>
    <col min="6" max="6" width="11.57421875" style="11" customWidth="1"/>
    <col min="7" max="7" width="10.421875" style="11" customWidth="1"/>
    <col min="8" max="8" width="9.7109375" style="11" customWidth="1"/>
    <col min="9" max="9" width="13.28125" style="11" customWidth="1"/>
  </cols>
  <sheetData>
    <row r="1" spans="1:9" s="20" customFormat="1" ht="17.25" customHeight="1">
      <c r="A1" s="9" t="s">
        <v>118</v>
      </c>
      <c r="B1" s="10"/>
      <c r="C1" s="10"/>
      <c r="D1" s="10"/>
      <c r="E1" s="10"/>
      <c r="F1" s="10"/>
      <c r="G1" s="10"/>
      <c r="H1" s="10"/>
      <c r="I1" s="10"/>
    </row>
    <row r="2" spans="1:9" ht="12">
      <c r="A2" s="227" t="s">
        <v>119</v>
      </c>
      <c r="B2" s="227"/>
      <c r="C2" s="227"/>
      <c r="D2" s="227"/>
      <c r="E2" s="227"/>
      <c r="F2" s="227"/>
      <c r="G2" s="227"/>
      <c r="H2" s="227"/>
      <c r="I2" s="13"/>
    </row>
    <row r="3" spans="1:9" ht="12">
      <c r="A3" s="14"/>
      <c r="B3" s="15" t="s">
        <v>103</v>
      </c>
      <c r="C3" s="15" t="s">
        <v>6</v>
      </c>
      <c r="D3" s="15" t="s">
        <v>120</v>
      </c>
      <c r="E3" s="15" t="s">
        <v>128</v>
      </c>
      <c r="F3" s="15"/>
      <c r="G3" s="15"/>
      <c r="H3" s="15"/>
      <c r="I3" s="15" t="s">
        <v>121</v>
      </c>
    </row>
    <row r="4" spans="1:9" ht="12">
      <c r="A4" s="7"/>
      <c r="B4" s="21" t="s">
        <v>111</v>
      </c>
      <c r="C4" s="21" t="s">
        <v>111</v>
      </c>
      <c r="D4" s="21" t="s">
        <v>122</v>
      </c>
      <c r="E4" s="21" t="s">
        <v>123</v>
      </c>
      <c r="F4" s="21" t="s">
        <v>124</v>
      </c>
      <c r="G4" s="21" t="s">
        <v>108</v>
      </c>
      <c r="H4" s="21" t="s">
        <v>109</v>
      </c>
      <c r="I4" s="21" t="s">
        <v>125</v>
      </c>
    </row>
    <row r="5" spans="1:9" ht="12">
      <c r="A5" s="6" t="s">
        <v>1</v>
      </c>
      <c r="B5" s="8" t="s">
        <v>114</v>
      </c>
      <c r="C5" s="8" t="s">
        <v>114</v>
      </c>
      <c r="D5" s="8" t="s">
        <v>126</v>
      </c>
      <c r="E5" s="8" t="s">
        <v>111</v>
      </c>
      <c r="F5" s="8" t="s">
        <v>127</v>
      </c>
      <c r="G5" s="8" t="s">
        <v>114</v>
      </c>
      <c r="H5" s="8" t="s">
        <v>114</v>
      </c>
      <c r="I5" s="8" t="s">
        <v>114</v>
      </c>
    </row>
    <row r="6" spans="1:9" ht="5.25" customHeight="1">
      <c r="A6" s="5"/>
      <c r="B6" s="13"/>
      <c r="C6" s="13"/>
      <c r="D6" s="13"/>
      <c r="E6" s="13"/>
      <c r="F6" s="13"/>
      <c r="G6" s="13"/>
      <c r="H6" s="13"/>
      <c r="I6" s="13"/>
    </row>
    <row r="7" spans="1:9" ht="12">
      <c r="A7" s="30" t="str">
        <f>Mach_Input!A7</f>
        <v>Tractor</v>
      </c>
      <c r="B7" s="22">
        <f>Mach_Input!B7*Mach_Input!I7</f>
        <v>28000</v>
      </c>
      <c r="C7" s="22">
        <f>Mach_Input!I7*Mach_Output!E7</f>
        <v>26000</v>
      </c>
      <c r="D7" s="22">
        <f>(Mach_Input!C7-Mach_Input!D7)/Mach_Input!E7</f>
        <v>5000</v>
      </c>
      <c r="E7" s="22">
        <f>Mach_Input!C7-((Mach_Input!E7-Mach_Input!F7)*Mach_Output!D7)</f>
        <v>65000</v>
      </c>
      <c r="F7" s="22">
        <f>(Mach_Input!C7+Mach_Input!D7)/2</f>
        <v>52500</v>
      </c>
      <c r="G7" s="22">
        <f>Mach_Input!G7*Mach_Output!F7*Mach_Input!I7</f>
        <v>21</v>
      </c>
      <c r="H7" s="22">
        <f>Mach_Input!H7*Mach_Output!F7*Mach_Input!I7</f>
        <v>1680</v>
      </c>
      <c r="I7" s="22">
        <f>Mach_Input!I7*Mach_Output!D7</f>
        <v>2000</v>
      </c>
    </row>
    <row r="8" spans="1:9" ht="12">
      <c r="A8" s="30" t="str">
        <f>Mach_Input!A8</f>
        <v>Disk</v>
      </c>
      <c r="B8" s="22">
        <f>Mach_Input!B8*Mach_Input!I8</f>
        <v>5400</v>
      </c>
      <c r="C8" s="22">
        <f>Mach_Input!I8*Mach_Output!E8</f>
        <v>4899.999999999999</v>
      </c>
      <c r="D8" s="22">
        <f>(Mach_Input!C8-Mach_Input!D8)/Mach_Input!E8</f>
        <v>1666.6666666666667</v>
      </c>
      <c r="E8" s="22">
        <f>Mach_Input!C8-((Mach_Input!E8-Mach_Input!F8)*Mach_Output!D8)</f>
        <v>16333.333333333332</v>
      </c>
      <c r="F8" s="22">
        <f>(Mach_Input!C8+Mach_Input!D8)/2</f>
        <v>13000</v>
      </c>
      <c r="G8" s="22">
        <f>Mach_Input!G8*Mach_Output!F8*Mach_Input!I8</f>
        <v>3.9</v>
      </c>
      <c r="H8" s="22">
        <f>Mach_Input!H8*Mach_Output!F8*Mach_Input!I8</f>
        <v>312</v>
      </c>
      <c r="I8" s="22">
        <f>Mach_Input!I8*Mach_Output!D8</f>
        <v>500</v>
      </c>
    </row>
    <row r="9" spans="1:9" ht="12">
      <c r="A9" s="30" t="str">
        <f>Mach_Input!A9</f>
        <v>Plow</v>
      </c>
      <c r="B9" s="22">
        <f>Mach_Input!B9*Mach_Input!I9</f>
        <v>0</v>
      </c>
      <c r="C9" s="22">
        <f>Mach_Input!I9*Mach_Output!E9</f>
        <v>0</v>
      </c>
      <c r="D9" s="22">
        <f>(Mach_Input!C9-Mach_Input!D9)/Mach_Input!E9</f>
        <v>0</v>
      </c>
      <c r="E9" s="22">
        <f>Mach_Input!C9-((Mach_Input!E9-Mach_Input!F9)*Mach_Output!D9)</f>
        <v>0</v>
      </c>
      <c r="F9" s="22">
        <f>(Mach_Input!C9+Mach_Input!D9)/2</f>
        <v>0</v>
      </c>
      <c r="G9" s="22">
        <f>Mach_Input!G9*Mach_Output!F9*Mach_Input!I9</f>
        <v>0</v>
      </c>
      <c r="H9" s="22">
        <f>Mach_Input!H9*Mach_Output!F9*Mach_Input!I9</f>
        <v>0</v>
      </c>
      <c r="I9" s="22">
        <f>Mach_Input!I9*Mach_Output!D9</f>
        <v>0</v>
      </c>
    </row>
    <row r="10" spans="1:9" ht="12">
      <c r="A10" s="30" t="str">
        <f>Mach_Input!A10</f>
        <v> </v>
      </c>
      <c r="B10" s="22">
        <f>Mach_Input!B10*Mach_Input!I10</f>
        <v>0</v>
      </c>
      <c r="C10" s="22">
        <f>Mach_Input!I10*Mach_Output!E10</f>
        <v>0</v>
      </c>
      <c r="D10" s="22">
        <f>(Mach_Input!C10-Mach_Input!D10)/Mach_Input!E10</f>
        <v>0</v>
      </c>
      <c r="E10" s="22">
        <f>Mach_Input!C10-((Mach_Input!E10-Mach_Input!F10)*Mach_Output!D10)</f>
        <v>0</v>
      </c>
      <c r="F10" s="22">
        <f>(Mach_Input!C10+Mach_Input!D10)/2</f>
        <v>0</v>
      </c>
      <c r="G10" s="22">
        <f>Mach_Input!G10*Mach_Output!F10*Mach_Input!I10</f>
        <v>0</v>
      </c>
      <c r="H10" s="22">
        <f>Mach_Input!H10*Mach_Output!F10*Mach_Input!I10</f>
        <v>0</v>
      </c>
      <c r="I10" s="22">
        <f>Mach_Input!I10*Mach_Output!D10</f>
        <v>0</v>
      </c>
    </row>
    <row r="11" spans="1:9" ht="12">
      <c r="A11" s="30" t="str">
        <f>Mach_Input!A11</f>
        <v> </v>
      </c>
      <c r="B11" s="22">
        <f>Mach_Input!B11*Mach_Input!I11</f>
        <v>0</v>
      </c>
      <c r="C11" s="22">
        <f>Mach_Input!I11*Mach_Output!E11</f>
        <v>0</v>
      </c>
      <c r="D11" s="22">
        <f>(Mach_Input!C11-Mach_Input!D11)/Mach_Input!E11</f>
        <v>0</v>
      </c>
      <c r="E11" s="22">
        <f>Mach_Input!C11-((Mach_Input!E11-Mach_Input!F11)*Mach_Output!D11)</f>
        <v>0</v>
      </c>
      <c r="F11" s="22">
        <f>(Mach_Input!C11+Mach_Input!D11)/2</f>
        <v>0</v>
      </c>
      <c r="G11" s="22">
        <f>Mach_Input!G11*Mach_Output!F11*Mach_Input!I11</f>
        <v>0</v>
      </c>
      <c r="H11" s="22">
        <f>Mach_Input!H11*Mach_Output!F11*Mach_Input!I11</f>
        <v>0</v>
      </c>
      <c r="I11" s="22">
        <f>Mach_Input!I11*Mach_Output!D11</f>
        <v>0</v>
      </c>
    </row>
    <row r="12" spans="1:9" ht="12">
      <c r="A12" s="30" t="str">
        <f>Mach_Input!A12</f>
        <v> </v>
      </c>
      <c r="B12" s="22">
        <f>Mach_Input!B12*Mach_Input!I12</f>
        <v>0</v>
      </c>
      <c r="C12" s="22">
        <f>Mach_Input!I12*Mach_Output!E12</f>
        <v>0</v>
      </c>
      <c r="D12" s="22">
        <f>(Mach_Input!C12-Mach_Input!D12)/Mach_Input!E12</f>
        <v>0</v>
      </c>
      <c r="E12" s="22">
        <f>Mach_Input!C12-((Mach_Input!E12-Mach_Input!F12)*Mach_Output!D12)</f>
        <v>0</v>
      </c>
      <c r="F12" s="22">
        <f>(Mach_Input!C12+Mach_Input!D12)/2</f>
        <v>0</v>
      </c>
      <c r="G12" s="22">
        <f>Mach_Input!G12*Mach_Output!F12*Mach_Input!I12</f>
        <v>0</v>
      </c>
      <c r="H12" s="22">
        <f>Mach_Input!H12*Mach_Output!F12*Mach_Input!I12</f>
        <v>0</v>
      </c>
      <c r="I12" s="22">
        <f>Mach_Input!I12*Mach_Output!D12</f>
        <v>0</v>
      </c>
    </row>
    <row r="13" spans="1:9" ht="12">
      <c r="A13" s="30" t="str">
        <f>Mach_Input!A13</f>
        <v> </v>
      </c>
      <c r="B13" s="22">
        <f>Mach_Input!B13*Mach_Input!I13</f>
        <v>0</v>
      </c>
      <c r="C13" s="22">
        <f>Mach_Input!I13*Mach_Output!E13</f>
        <v>0</v>
      </c>
      <c r="D13" s="22">
        <f>(Mach_Input!C13-Mach_Input!D13)/Mach_Input!E13</f>
        <v>0</v>
      </c>
      <c r="E13" s="22">
        <f>Mach_Input!C13-((Mach_Input!E13-Mach_Input!F13)*Mach_Output!D13)</f>
        <v>0</v>
      </c>
      <c r="F13" s="22">
        <f>(Mach_Input!C13+Mach_Input!D13)/2</f>
        <v>0</v>
      </c>
      <c r="G13" s="22">
        <f>Mach_Input!G13*Mach_Output!F13*Mach_Input!I13</f>
        <v>0</v>
      </c>
      <c r="H13" s="22">
        <f>Mach_Input!H13*Mach_Output!F13*Mach_Input!I13</f>
        <v>0</v>
      </c>
      <c r="I13" s="22">
        <f>Mach_Input!I13*Mach_Output!D13</f>
        <v>0</v>
      </c>
    </row>
    <row r="14" spans="1:9" ht="12">
      <c r="A14" s="30" t="str">
        <f>Mach_Input!A14</f>
        <v> </v>
      </c>
      <c r="B14" s="22">
        <f>Mach_Input!B14*Mach_Input!I14</f>
        <v>0</v>
      </c>
      <c r="C14" s="22">
        <f>Mach_Input!I14*Mach_Output!E14</f>
        <v>0</v>
      </c>
      <c r="D14" s="22">
        <f>(Mach_Input!C14-Mach_Input!D14)/Mach_Input!E14</f>
        <v>0</v>
      </c>
      <c r="E14" s="22">
        <f>Mach_Input!C14-((Mach_Input!E14-Mach_Input!F14)*Mach_Output!D14)</f>
        <v>0</v>
      </c>
      <c r="F14" s="22">
        <f>(Mach_Input!C14+Mach_Input!D14)/2</f>
        <v>0</v>
      </c>
      <c r="G14" s="22">
        <f>Mach_Input!G14*Mach_Output!F14*Mach_Input!I14</f>
        <v>0</v>
      </c>
      <c r="H14" s="22">
        <f>Mach_Input!H14*Mach_Output!F14*Mach_Input!I14</f>
        <v>0</v>
      </c>
      <c r="I14" s="22">
        <f>Mach_Input!I14*Mach_Output!D14</f>
        <v>0</v>
      </c>
    </row>
    <row r="15" spans="1:9" ht="12">
      <c r="A15" s="30" t="str">
        <f>Mach_Input!A15</f>
        <v> </v>
      </c>
      <c r="B15" s="22">
        <f>Mach_Input!B15*Mach_Input!I15</f>
        <v>0</v>
      </c>
      <c r="C15" s="22">
        <f>Mach_Input!I15*Mach_Output!E15</f>
        <v>0</v>
      </c>
      <c r="D15" s="22">
        <f>(Mach_Input!C15-Mach_Input!D15)/Mach_Input!E15</f>
        <v>0</v>
      </c>
      <c r="E15" s="22">
        <f>Mach_Input!C15-((Mach_Input!E15-Mach_Input!F15)*Mach_Output!D15)</f>
        <v>0</v>
      </c>
      <c r="F15" s="22">
        <f>(Mach_Input!C15+Mach_Input!D15)/2</f>
        <v>0</v>
      </c>
      <c r="G15" s="22">
        <f>Mach_Input!G15*Mach_Output!F15*Mach_Input!I15</f>
        <v>0</v>
      </c>
      <c r="H15" s="22">
        <f>Mach_Input!H15*Mach_Output!F15*Mach_Input!I15</f>
        <v>0</v>
      </c>
      <c r="I15" s="22">
        <f>Mach_Input!I15*Mach_Output!D15</f>
        <v>0</v>
      </c>
    </row>
    <row r="16" spans="1:9" ht="12">
      <c r="A16" s="30" t="str">
        <f>Mach_Input!A16</f>
        <v> </v>
      </c>
      <c r="B16" s="22">
        <f>Mach_Input!B16*Mach_Input!I16</f>
        <v>0</v>
      </c>
      <c r="C16" s="22">
        <f>Mach_Input!I16*Mach_Output!E16</f>
        <v>0</v>
      </c>
      <c r="D16" s="22">
        <f>(Mach_Input!C16-Mach_Input!D16)/Mach_Input!E16</f>
        <v>0</v>
      </c>
      <c r="E16" s="22">
        <f>Mach_Input!C16-((Mach_Input!E16-Mach_Input!F16)*Mach_Output!D16)</f>
        <v>0</v>
      </c>
      <c r="F16" s="22">
        <f>(Mach_Input!C16+Mach_Input!D16)/2</f>
        <v>0</v>
      </c>
      <c r="G16" s="22">
        <f>Mach_Input!G16*Mach_Output!F16*Mach_Input!I16</f>
        <v>0</v>
      </c>
      <c r="H16" s="22">
        <f>Mach_Input!H16*Mach_Output!F16*Mach_Input!I16</f>
        <v>0</v>
      </c>
      <c r="I16" s="22">
        <f>Mach_Input!I16*Mach_Output!D16</f>
        <v>0</v>
      </c>
    </row>
    <row r="17" spans="1:9" ht="12">
      <c r="A17" s="30" t="str">
        <f>Mach_Input!A17</f>
        <v> </v>
      </c>
      <c r="B17" s="22">
        <f>Mach_Input!B17*Mach_Input!I17</f>
        <v>0</v>
      </c>
      <c r="C17" s="22">
        <f>Mach_Input!I17*Mach_Output!E17</f>
        <v>0</v>
      </c>
      <c r="D17" s="22">
        <f>(Mach_Input!C17-Mach_Input!D17)/Mach_Input!E17</f>
        <v>0</v>
      </c>
      <c r="E17" s="22">
        <f>Mach_Input!C17-((Mach_Input!E17-Mach_Input!F17)*Mach_Output!D17)</f>
        <v>0</v>
      </c>
      <c r="F17" s="22">
        <f>(Mach_Input!C17+Mach_Input!D17)/2</f>
        <v>0</v>
      </c>
      <c r="G17" s="22">
        <f>Mach_Input!G17*Mach_Output!F17*Mach_Input!I17</f>
        <v>0</v>
      </c>
      <c r="H17" s="22">
        <f>Mach_Input!H17*Mach_Output!F17*Mach_Input!I17</f>
        <v>0</v>
      </c>
      <c r="I17" s="22">
        <f>Mach_Input!I17*Mach_Output!D17</f>
        <v>0</v>
      </c>
    </row>
    <row r="18" spans="1:9" ht="12">
      <c r="A18" s="30" t="str">
        <f>Mach_Input!A18</f>
        <v> </v>
      </c>
      <c r="B18" s="22">
        <f>Mach_Input!B18*Mach_Input!I18</f>
        <v>0</v>
      </c>
      <c r="C18" s="22">
        <f>Mach_Input!I18*Mach_Output!E18</f>
        <v>0</v>
      </c>
      <c r="D18" s="22">
        <f>(Mach_Input!C18-Mach_Input!D18)/Mach_Input!E18</f>
        <v>0</v>
      </c>
      <c r="E18" s="22">
        <f>Mach_Input!C18-((Mach_Input!E18-Mach_Input!F18)*Mach_Output!D18)</f>
        <v>0</v>
      </c>
      <c r="F18" s="22">
        <f>(Mach_Input!C18+Mach_Input!D18)/2</f>
        <v>0</v>
      </c>
      <c r="G18" s="22">
        <f>Mach_Input!G18*Mach_Output!F18*Mach_Input!I18</f>
        <v>0</v>
      </c>
      <c r="H18" s="22">
        <f>Mach_Input!H18*Mach_Output!F18*Mach_Input!I18</f>
        <v>0</v>
      </c>
      <c r="I18" s="22">
        <f>Mach_Input!I18*Mach_Output!D18</f>
        <v>0</v>
      </c>
    </row>
    <row r="19" spans="1:9" ht="12">
      <c r="A19" s="30" t="str">
        <f>Mach_Input!A19</f>
        <v> </v>
      </c>
      <c r="B19" s="22">
        <f>Mach_Input!B19*Mach_Input!I19</f>
        <v>0</v>
      </c>
      <c r="C19" s="22">
        <f>Mach_Input!I19*Mach_Output!E19</f>
        <v>0</v>
      </c>
      <c r="D19" s="22">
        <f>(Mach_Input!C19-Mach_Input!D19)/Mach_Input!E19</f>
        <v>0</v>
      </c>
      <c r="E19" s="22">
        <f>Mach_Input!C19-((Mach_Input!E19-Mach_Input!F19)*Mach_Output!D19)</f>
        <v>0</v>
      </c>
      <c r="F19" s="22">
        <f>(Mach_Input!C19+Mach_Input!D19)/2</f>
        <v>0</v>
      </c>
      <c r="G19" s="22">
        <f>Mach_Input!G19*Mach_Output!F19*Mach_Input!I19</f>
        <v>0</v>
      </c>
      <c r="H19" s="22">
        <f>Mach_Input!H19*Mach_Output!F19*Mach_Input!I19</f>
        <v>0</v>
      </c>
      <c r="I19" s="22">
        <f>Mach_Input!I19*Mach_Output!D19</f>
        <v>0</v>
      </c>
    </row>
    <row r="20" spans="1:9" ht="12">
      <c r="A20" s="30" t="str">
        <f>Mach_Input!A20</f>
        <v> </v>
      </c>
      <c r="B20" s="22">
        <f>Mach_Input!B20*Mach_Input!I20</f>
        <v>0</v>
      </c>
      <c r="C20" s="22">
        <f>Mach_Input!I20*Mach_Output!E20</f>
        <v>0</v>
      </c>
      <c r="D20" s="22">
        <f>(Mach_Input!C20-Mach_Input!D20)/Mach_Input!E20</f>
        <v>0</v>
      </c>
      <c r="E20" s="22">
        <f>Mach_Input!C20-((Mach_Input!E20-Mach_Input!F20)*Mach_Output!D20)</f>
        <v>0</v>
      </c>
      <c r="F20" s="22">
        <f>(Mach_Input!C20+Mach_Input!D20)/2</f>
        <v>0</v>
      </c>
      <c r="G20" s="22">
        <f>Mach_Input!G20*Mach_Output!F20*Mach_Input!I20</f>
        <v>0</v>
      </c>
      <c r="H20" s="22">
        <f>Mach_Input!H20*Mach_Output!F20*Mach_Input!I20</f>
        <v>0</v>
      </c>
      <c r="I20" s="22">
        <f>Mach_Input!I20*Mach_Output!D20</f>
        <v>0</v>
      </c>
    </row>
    <row r="21" spans="1:9" ht="12">
      <c r="A21" s="30" t="str">
        <f>Mach_Input!A21</f>
        <v> </v>
      </c>
      <c r="B21" s="22">
        <f>Mach_Input!B21*Mach_Input!I21</f>
        <v>0</v>
      </c>
      <c r="C21" s="22">
        <f>Mach_Input!I21*Mach_Output!E21</f>
        <v>0</v>
      </c>
      <c r="D21" s="22">
        <f>(Mach_Input!C21-Mach_Input!D21)/Mach_Input!E21</f>
        <v>0</v>
      </c>
      <c r="E21" s="22">
        <f>Mach_Input!C21-((Mach_Input!E21-Mach_Input!F21)*Mach_Output!D21)</f>
        <v>0</v>
      </c>
      <c r="F21" s="22">
        <f>(Mach_Input!C21+Mach_Input!D21)/2</f>
        <v>0</v>
      </c>
      <c r="G21" s="22">
        <f>Mach_Input!G21*Mach_Output!F21*Mach_Input!I21</f>
        <v>0</v>
      </c>
      <c r="H21" s="22">
        <f>Mach_Input!H21*Mach_Output!F21*Mach_Input!I21</f>
        <v>0</v>
      </c>
      <c r="I21" s="22">
        <f>Mach_Input!I21*Mach_Output!D21</f>
        <v>0</v>
      </c>
    </row>
    <row r="22" spans="1:9" ht="12">
      <c r="A22" s="30" t="str">
        <f>Mach_Input!A22</f>
        <v> </v>
      </c>
      <c r="B22" s="22">
        <f>Mach_Input!B22*Mach_Input!I22</f>
        <v>0</v>
      </c>
      <c r="C22" s="22">
        <f>Mach_Input!I22*Mach_Output!E22</f>
        <v>0</v>
      </c>
      <c r="D22" s="22">
        <f>(Mach_Input!C22-Mach_Input!D22)/Mach_Input!E22</f>
        <v>0</v>
      </c>
      <c r="E22" s="22">
        <f>Mach_Input!C22-((Mach_Input!E22-Mach_Input!F22)*Mach_Output!D22)</f>
        <v>0</v>
      </c>
      <c r="F22" s="22">
        <f>(Mach_Input!C22+Mach_Input!D22)/2</f>
        <v>0</v>
      </c>
      <c r="G22" s="22">
        <f>Mach_Input!G22*Mach_Output!F22*Mach_Input!I22</f>
        <v>0</v>
      </c>
      <c r="H22" s="22">
        <f>Mach_Input!H22*Mach_Output!F22*Mach_Input!I22</f>
        <v>0</v>
      </c>
      <c r="I22" s="22">
        <f>Mach_Input!I22*Mach_Output!D22</f>
        <v>0</v>
      </c>
    </row>
    <row r="23" spans="1:9" ht="12">
      <c r="A23" s="30" t="str">
        <f>Mach_Input!A23</f>
        <v> </v>
      </c>
      <c r="B23" s="22">
        <f>Mach_Input!B23*Mach_Input!I23</f>
        <v>0</v>
      </c>
      <c r="C23" s="22">
        <f>Mach_Input!I23*Mach_Output!E23</f>
        <v>0</v>
      </c>
      <c r="D23" s="22">
        <f>(Mach_Input!C23-Mach_Input!D23)/Mach_Input!E23</f>
        <v>0</v>
      </c>
      <c r="E23" s="22">
        <f>Mach_Input!C23-((Mach_Input!E23-Mach_Input!F23)*Mach_Output!D23)</f>
        <v>0</v>
      </c>
      <c r="F23" s="22">
        <f>(Mach_Input!C23+Mach_Input!D23)/2</f>
        <v>0</v>
      </c>
      <c r="G23" s="22">
        <f>Mach_Input!G23*Mach_Output!F23*Mach_Input!I23</f>
        <v>0</v>
      </c>
      <c r="H23" s="22">
        <f>Mach_Input!H23*Mach_Output!F23*Mach_Input!I23</f>
        <v>0</v>
      </c>
      <c r="I23" s="22">
        <f>Mach_Input!I23*Mach_Output!D23</f>
        <v>0</v>
      </c>
    </row>
    <row r="24" spans="1:9" ht="12">
      <c r="A24" s="30" t="str">
        <f>Mach_Input!A24</f>
        <v> </v>
      </c>
      <c r="B24" s="22">
        <f>Mach_Input!B24*Mach_Input!I24</f>
        <v>0</v>
      </c>
      <c r="C24" s="22">
        <f>Mach_Input!I24*Mach_Output!E24</f>
        <v>0</v>
      </c>
      <c r="D24" s="22">
        <f>(Mach_Input!C24-Mach_Input!D24)/Mach_Input!E24</f>
        <v>0</v>
      </c>
      <c r="E24" s="22">
        <f>Mach_Input!C24-((Mach_Input!E24-Mach_Input!F24)*Mach_Output!D24)</f>
        <v>0</v>
      </c>
      <c r="F24" s="22">
        <f>(Mach_Input!C24+Mach_Input!D24)/2</f>
        <v>0</v>
      </c>
      <c r="G24" s="22">
        <f>Mach_Input!G24*Mach_Output!F24*Mach_Input!I24</f>
        <v>0</v>
      </c>
      <c r="H24" s="22">
        <f>Mach_Input!H24*Mach_Output!F24*Mach_Input!I24</f>
        <v>0</v>
      </c>
      <c r="I24" s="22">
        <f>Mach_Input!I24*Mach_Output!D24</f>
        <v>0</v>
      </c>
    </row>
    <row r="25" spans="1:9" ht="12">
      <c r="A25" s="30" t="str">
        <f>Mach_Input!A25</f>
        <v> </v>
      </c>
      <c r="B25" s="22">
        <f>Mach_Input!B25*Mach_Input!I25</f>
        <v>0</v>
      </c>
      <c r="C25" s="22">
        <f>Mach_Input!I25*Mach_Output!E25</f>
        <v>0</v>
      </c>
      <c r="D25" s="22">
        <f>(Mach_Input!C25-Mach_Input!D25)/Mach_Input!E25</f>
        <v>0</v>
      </c>
      <c r="E25" s="22">
        <f>Mach_Input!C25-((Mach_Input!E25-Mach_Input!F25)*Mach_Output!D25)</f>
        <v>0</v>
      </c>
      <c r="F25" s="22">
        <f>(Mach_Input!C25+Mach_Input!D25)/2</f>
        <v>0</v>
      </c>
      <c r="G25" s="22">
        <f>Mach_Input!G25*Mach_Output!F25*Mach_Input!I25</f>
        <v>0</v>
      </c>
      <c r="H25" s="22">
        <f>Mach_Input!H25*Mach_Output!F25*Mach_Input!I25</f>
        <v>0</v>
      </c>
      <c r="I25" s="22">
        <f>Mach_Input!I25*Mach_Output!D25</f>
        <v>0</v>
      </c>
    </row>
    <row r="26" spans="1:9" ht="12">
      <c r="A26" s="30" t="str">
        <f>Mach_Input!A26</f>
        <v> </v>
      </c>
      <c r="B26" s="22">
        <f>Mach_Input!B26*Mach_Input!I26</f>
        <v>0</v>
      </c>
      <c r="C26" s="22">
        <f>Mach_Input!I26*Mach_Output!E26</f>
        <v>0</v>
      </c>
      <c r="D26" s="22">
        <f>(Mach_Input!C26-Mach_Input!D26)/Mach_Input!E26</f>
        <v>0</v>
      </c>
      <c r="E26" s="22">
        <f>Mach_Input!C26-((Mach_Input!E26-Mach_Input!F26)*Mach_Output!D26)</f>
        <v>0</v>
      </c>
      <c r="F26" s="22">
        <f>(Mach_Input!C26+Mach_Input!D26)/2</f>
        <v>0</v>
      </c>
      <c r="G26" s="22">
        <f>Mach_Input!G26*Mach_Output!F26*Mach_Input!I26</f>
        <v>0</v>
      </c>
      <c r="H26" s="22">
        <f>Mach_Input!H26*Mach_Output!F26*Mach_Input!I26</f>
        <v>0</v>
      </c>
      <c r="I26" s="22">
        <f>Mach_Input!I26*Mach_Output!D26</f>
        <v>0</v>
      </c>
    </row>
    <row r="27" spans="1:9" ht="12">
      <c r="A27" s="30" t="str">
        <f>Mach_Input!A27</f>
        <v> </v>
      </c>
      <c r="B27" s="22">
        <f>Mach_Input!B27*Mach_Input!I27</f>
        <v>0</v>
      </c>
      <c r="C27" s="22">
        <f>Mach_Input!I27*Mach_Output!E27</f>
        <v>0</v>
      </c>
      <c r="D27" s="22">
        <f>(Mach_Input!C27-Mach_Input!D27)/Mach_Input!E27</f>
        <v>0</v>
      </c>
      <c r="E27" s="22">
        <f>Mach_Input!C27-((Mach_Input!E27-Mach_Input!F27)*Mach_Output!D27)</f>
        <v>0</v>
      </c>
      <c r="F27" s="22">
        <f>(Mach_Input!C27+Mach_Input!D27)/2</f>
        <v>0</v>
      </c>
      <c r="G27" s="22">
        <f>Mach_Input!G27*Mach_Output!F27*Mach_Input!I27</f>
        <v>0</v>
      </c>
      <c r="H27" s="22">
        <f>Mach_Input!H27*Mach_Output!F27*Mach_Input!I27</f>
        <v>0</v>
      </c>
      <c r="I27" s="22">
        <f>Mach_Input!I27*Mach_Output!D27</f>
        <v>0</v>
      </c>
    </row>
    <row r="28" spans="1:9" ht="12">
      <c r="A28" s="30" t="str">
        <f>Mach_Input!A28</f>
        <v> </v>
      </c>
      <c r="B28" s="22">
        <f>Mach_Input!B28*Mach_Input!I28</f>
        <v>0</v>
      </c>
      <c r="C28" s="22">
        <f>Mach_Input!I28*Mach_Output!E28</f>
        <v>0</v>
      </c>
      <c r="D28" s="22">
        <f>(Mach_Input!C28-Mach_Input!D28)/Mach_Input!E28</f>
        <v>0</v>
      </c>
      <c r="E28" s="22">
        <f>Mach_Input!C28-((Mach_Input!E28-Mach_Input!F28)*Mach_Output!D28)</f>
        <v>0</v>
      </c>
      <c r="F28" s="22">
        <f>(Mach_Input!C28+Mach_Input!D28)/2</f>
        <v>0</v>
      </c>
      <c r="G28" s="22">
        <f>Mach_Input!G28*Mach_Output!F28*Mach_Input!I28</f>
        <v>0</v>
      </c>
      <c r="H28" s="22">
        <f>Mach_Input!H28*Mach_Output!F28*Mach_Input!I28</f>
        <v>0</v>
      </c>
      <c r="I28" s="22">
        <f>Mach_Input!I28*Mach_Output!D28</f>
        <v>0</v>
      </c>
    </row>
    <row r="29" spans="1:9" ht="12">
      <c r="A29" s="30" t="str">
        <f>Mach_Input!A29</f>
        <v> </v>
      </c>
      <c r="B29" s="22">
        <f>Mach_Input!B29*Mach_Input!I29</f>
        <v>0</v>
      </c>
      <c r="C29" s="22">
        <f>Mach_Input!I29*Mach_Output!E29</f>
        <v>0</v>
      </c>
      <c r="D29" s="22">
        <f>(Mach_Input!C29-Mach_Input!D29)/Mach_Input!E29</f>
        <v>0</v>
      </c>
      <c r="E29" s="22">
        <f>Mach_Input!C29-((Mach_Input!E29-Mach_Input!F29)*Mach_Output!D29)</f>
        <v>0</v>
      </c>
      <c r="F29" s="22">
        <f>(Mach_Input!C29+Mach_Input!D29)/2</f>
        <v>0</v>
      </c>
      <c r="G29" s="22">
        <f>Mach_Input!G29*Mach_Output!F29*Mach_Input!I29</f>
        <v>0</v>
      </c>
      <c r="H29" s="22">
        <f>Mach_Input!H29*Mach_Output!F29*Mach_Input!I29</f>
        <v>0</v>
      </c>
      <c r="I29" s="22">
        <f>Mach_Input!I29*Mach_Output!D29</f>
        <v>0</v>
      </c>
    </row>
    <row r="30" spans="1:9" ht="12">
      <c r="A30" s="30" t="str">
        <f>Mach_Input!A30</f>
        <v> </v>
      </c>
      <c r="B30" s="22">
        <f>Mach_Input!B30*Mach_Input!I30</f>
        <v>0</v>
      </c>
      <c r="C30" s="22">
        <f>Mach_Input!I30*Mach_Output!E30</f>
        <v>0</v>
      </c>
      <c r="D30" s="22">
        <f>(Mach_Input!C30-Mach_Input!D30)/Mach_Input!E30</f>
        <v>0</v>
      </c>
      <c r="E30" s="22">
        <f>Mach_Input!C30-((Mach_Input!E30-Mach_Input!F30)*Mach_Output!D30)</f>
        <v>0</v>
      </c>
      <c r="F30" s="22">
        <f>(Mach_Input!C30+Mach_Input!D30)/2</f>
        <v>0</v>
      </c>
      <c r="G30" s="22">
        <f>Mach_Input!G30*Mach_Output!F30*Mach_Input!I30</f>
        <v>0</v>
      </c>
      <c r="H30" s="22">
        <f>Mach_Input!H30*Mach_Output!F30*Mach_Input!I30</f>
        <v>0</v>
      </c>
      <c r="I30" s="22">
        <f>Mach_Input!I30*Mach_Output!D30</f>
        <v>0</v>
      </c>
    </row>
    <row r="31" spans="1:9" ht="7.5" customHeight="1">
      <c r="A31" s="3"/>
      <c r="B31" s="23"/>
      <c r="C31" s="24"/>
      <c r="D31" s="23"/>
      <c r="E31" s="23"/>
      <c r="F31" s="23"/>
      <c r="G31" s="24"/>
      <c r="H31" s="24"/>
      <c r="I31" s="24"/>
    </row>
    <row r="32" spans="1:9" ht="8.25" customHeight="1">
      <c r="A32" s="1"/>
      <c r="B32" s="25"/>
      <c r="C32" s="25"/>
      <c r="D32" s="25"/>
      <c r="E32" s="25"/>
      <c r="F32" s="25"/>
      <c r="G32" s="26"/>
      <c r="H32" s="26"/>
      <c r="I32" s="26"/>
    </row>
    <row r="33" spans="1:9" ht="12">
      <c r="A33" s="3" t="s">
        <v>51</v>
      </c>
      <c r="B33" s="24">
        <f>SUM(B7:B30)</f>
        <v>33400</v>
      </c>
      <c r="C33" s="24">
        <f aca="true" t="shared" si="0" ref="C33:I33">SUM(C7:C30)</f>
        <v>30900</v>
      </c>
      <c r="D33" s="24">
        <f t="shared" si="0"/>
        <v>6666.666666666667</v>
      </c>
      <c r="E33" s="24">
        <f t="shared" si="0"/>
        <v>81333.33333333333</v>
      </c>
      <c r="F33" s="24">
        <f t="shared" si="0"/>
        <v>65500</v>
      </c>
      <c r="G33" s="27">
        <f t="shared" si="0"/>
        <v>24.9</v>
      </c>
      <c r="H33" s="27">
        <f t="shared" si="0"/>
        <v>1992</v>
      </c>
      <c r="I33" s="27">
        <f t="shared" si="0"/>
        <v>2500</v>
      </c>
    </row>
    <row r="34" spans="1:9" ht="12">
      <c r="A34" s="31"/>
      <c r="B34" s="32"/>
      <c r="C34" s="32"/>
      <c r="D34" s="32"/>
      <c r="E34" s="32"/>
      <c r="F34" s="32"/>
      <c r="G34" s="32"/>
      <c r="H34" s="32"/>
      <c r="I34" s="32"/>
    </row>
    <row r="35" spans="1:9" ht="12">
      <c r="A35" s="33" t="s">
        <v>129</v>
      </c>
      <c r="B35" s="11">
        <v>100</v>
      </c>
      <c r="C35" s="32"/>
      <c r="D35" s="32"/>
      <c r="E35" s="32"/>
      <c r="F35" s="32"/>
      <c r="G35" s="34">
        <f>G33/$B$35</f>
        <v>0.249</v>
      </c>
      <c r="H35" s="34">
        <f>H33/$B$35</f>
        <v>19.92</v>
      </c>
      <c r="I35" s="34">
        <f>I33/$B$35</f>
        <v>25</v>
      </c>
    </row>
    <row r="36" spans="1:9" ht="12">
      <c r="A36" s="31"/>
      <c r="B36" s="32"/>
      <c r="C36" s="32"/>
      <c r="D36" s="32"/>
      <c r="E36" s="32"/>
      <c r="F36" s="32"/>
      <c r="G36" s="32"/>
      <c r="H36" s="32"/>
      <c r="I36" s="32"/>
    </row>
  </sheetData>
  <sheetProtection/>
  <mergeCells count="1">
    <mergeCell ref="A2:H2"/>
  </mergeCells>
  <printOptions/>
  <pageMargins left="0.75" right="0.75" top="1" bottom="1" header="0.5" footer="0.5"/>
  <pageSetup fitToHeight="1" fitToWidth="1" horizontalDpi="600" verticalDpi="600" orientation="landscape" r:id="rId1"/>
  <headerFooter alignWithMargins="0">
    <oddFooter>&amp;L&amp;A&amp;CUniversity of Idaho</oddFooter>
  </headerFooter>
</worksheet>
</file>

<file path=xl/worksheets/sheet5.xml><?xml version="1.0" encoding="utf-8"?>
<worksheet xmlns="http://schemas.openxmlformats.org/spreadsheetml/2006/main" xmlns:r="http://schemas.openxmlformats.org/officeDocument/2006/relationships">
  <dimension ref="A1:IE136"/>
  <sheetViews>
    <sheetView zoomScalePageLayoutView="0" workbookViewId="0" topLeftCell="A52">
      <selection activeCell="A52" sqref="A1:A16384"/>
    </sheetView>
  </sheetViews>
  <sheetFormatPr defaultColWidth="11.421875" defaultRowHeight="12.75"/>
  <cols>
    <col min="1" max="1" width="3.140625" style="203" customWidth="1"/>
    <col min="2" max="2" width="32.57421875" style="182" customWidth="1"/>
    <col min="3" max="3" width="10.7109375" style="183" customWidth="1"/>
    <col min="4" max="4" width="10.7109375" style="184" customWidth="1"/>
    <col min="5" max="5" width="27.140625" style="182" customWidth="1"/>
    <col min="6" max="16384" width="11.421875" style="182" customWidth="1"/>
  </cols>
  <sheetData>
    <row r="1" spans="2:5" ht="27.75" customHeight="1">
      <c r="B1" s="228" t="s">
        <v>321</v>
      </c>
      <c r="C1" s="228"/>
      <c r="D1" s="228"/>
      <c r="E1" s="229"/>
    </row>
    <row r="2" spans="2:5" ht="15" customHeight="1">
      <c r="B2" s="185"/>
      <c r="C2" s="186"/>
      <c r="D2" s="187">
        <v>2013</v>
      </c>
      <c r="E2" s="188"/>
    </row>
    <row r="3" spans="2:5" ht="15" customHeight="1">
      <c r="B3" s="189" t="s">
        <v>1</v>
      </c>
      <c r="C3" s="190" t="s">
        <v>4</v>
      </c>
      <c r="D3" s="191" t="s">
        <v>260</v>
      </c>
      <c r="E3" s="192" t="s">
        <v>261</v>
      </c>
    </row>
    <row r="4" spans="2:5" ht="15" customHeight="1">
      <c r="B4" s="193" t="s">
        <v>262</v>
      </c>
      <c r="C4" s="194"/>
      <c r="D4" s="194"/>
      <c r="E4" s="195"/>
    </row>
    <row r="5" spans="2:5" ht="15" customHeight="1">
      <c r="B5" s="196" t="s">
        <v>312</v>
      </c>
      <c r="C5" s="194" t="s">
        <v>91</v>
      </c>
      <c r="D5" s="197">
        <v>3.6</v>
      </c>
      <c r="E5" s="198"/>
    </row>
    <row r="6" spans="2:5" ht="15" customHeight="1">
      <c r="B6" s="196" t="s">
        <v>313</v>
      </c>
      <c r="C6" s="194" t="s">
        <v>91</v>
      </c>
      <c r="D6" s="197">
        <v>3.7</v>
      </c>
      <c r="E6" s="198"/>
    </row>
    <row r="7" spans="2:5" ht="15" customHeight="1">
      <c r="B7" s="196" t="s">
        <v>284</v>
      </c>
      <c r="C7" s="194" t="s">
        <v>91</v>
      </c>
      <c r="D7" s="197">
        <v>4.1</v>
      </c>
      <c r="E7" s="198"/>
    </row>
    <row r="8" spans="2:5" ht="15" customHeight="1">
      <c r="B8" s="196"/>
      <c r="C8" s="194"/>
      <c r="D8" s="199"/>
      <c r="E8" s="195"/>
    </row>
    <row r="9" spans="2:5" ht="15" customHeight="1">
      <c r="B9" s="193" t="s">
        <v>11</v>
      </c>
      <c r="C9" s="194"/>
      <c r="D9" s="199"/>
      <c r="E9" s="195" t="s">
        <v>50</v>
      </c>
    </row>
    <row r="10" spans="2:5" ht="15" customHeight="1">
      <c r="B10" s="200" t="s">
        <v>314</v>
      </c>
      <c r="C10" s="194" t="s">
        <v>38</v>
      </c>
      <c r="D10" s="197">
        <v>0.25</v>
      </c>
      <c r="E10" s="201"/>
    </row>
    <row r="11" spans="2:5" ht="15" customHeight="1">
      <c r="B11" s="200" t="s">
        <v>315</v>
      </c>
      <c r="C11" s="194" t="s">
        <v>38</v>
      </c>
      <c r="D11" s="197">
        <v>0.27</v>
      </c>
      <c r="E11" s="201"/>
    </row>
    <row r="12" spans="2:5" ht="15" customHeight="1">
      <c r="B12" s="200" t="s">
        <v>78</v>
      </c>
      <c r="C12" s="194" t="s">
        <v>38</v>
      </c>
      <c r="D12" s="197">
        <v>0.62</v>
      </c>
      <c r="E12" s="201"/>
    </row>
    <row r="13" spans="2:5" ht="15" customHeight="1">
      <c r="B13" s="200" t="s">
        <v>316</v>
      </c>
      <c r="C13" s="202" t="s">
        <v>232</v>
      </c>
      <c r="D13" s="197">
        <v>225</v>
      </c>
      <c r="E13" s="198"/>
    </row>
    <row r="14" spans="2:5" ht="15" customHeight="1">
      <c r="B14" s="196" t="s">
        <v>317</v>
      </c>
      <c r="C14" s="202" t="s">
        <v>232</v>
      </c>
      <c r="D14" s="197">
        <v>118</v>
      </c>
      <c r="E14" s="198"/>
    </row>
    <row r="15" spans="2:5" ht="15" customHeight="1">
      <c r="B15" s="196" t="s">
        <v>318</v>
      </c>
      <c r="C15" s="202" t="s">
        <v>134</v>
      </c>
      <c r="D15" s="225">
        <v>1325</v>
      </c>
      <c r="E15" s="195"/>
    </row>
    <row r="16" spans="2:5" ht="15" customHeight="1">
      <c r="B16" s="200" t="s">
        <v>357</v>
      </c>
      <c r="C16" s="202" t="s">
        <v>134</v>
      </c>
      <c r="D16" s="225">
        <v>1472</v>
      </c>
      <c r="E16" s="195"/>
    </row>
    <row r="17" spans="2:5" ht="15" customHeight="1">
      <c r="B17" s="200" t="s">
        <v>319</v>
      </c>
      <c r="C17" s="194" t="s">
        <v>38</v>
      </c>
      <c r="D17" s="197">
        <v>0.3</v>
      </c>
      <c r="E17" s="201"/>
    </row>
    <row r="18" spans="2:5" ht="15" customHeight="1">
      <c r="B18" s="200" t="s">
        <v>309</v>
      </c>
      <c r="C18" s="194" t="s">
        <v>38</v>
      </c>
      <c r="D18" s="197">
        <v>4.18</v>
      </c>
      <c r="E18" s="201"/>
    </row>
    <row r="19" spans="2:5" ht="15" customHeight="1">
      <c r="B19" s="196"/>
      <c r="C19" s="194"/>
      <c r="D19" s="199"/>
      <c r="E19" s="201"/>
    </row>
    <row r="20" spans="2:5" ht="15" customHeight="1">
      <c r="B20" s="193" t="s">
        <v>12</v>
      </c>
      <c r="C20" s="194"/>
      <c r="D20" s="199"/>
      <c r="E20" s="201"/>
    </row>
    <row r="21" spans="2:5" ht="15" customHeight="1">
      <c r="B21" s="200" t="s">
        <v>74</v>
      </c>
      <c r="C21" s="194" t="s">
        <v>38</v>
      </c>
      <c r="D21" s="197">
        <v>0.66</v>
      </c>
      <c r="E21" s="198"/>
    </row>
    <row r="22" spans="2:5" ht="15" customHeight="1">
      <c r="B22" s="200" t="s">
        <v>15</v>
      </c>
      <c r="C22" s="194" t="s">
        <v>38</v>
      </c>
      <c r="D22" s="197">
        <v>0.82</v>
      </c>
      <c r="E22" s="198"/>
    </row>
    <row r="23" spans="2:5" ht="15" customHeight="1">
      <c r="B23" s="200" t="s">
        <v>311</v>
      </c>
      <c r="C23" s="194" t="s">
        <v>38</v>
      </c>
      <c r="D23" s="197">
        <v>0.54</v>
      </c>
      <c r="E23" s="198"/>
    </row>
    <row r="24" spans="2:5" ht="15" customHeight="1">
      <c r="B24" s="200" t="s">
        <v>358</v>
      </c>
      <c r="C24" s="194" t="s">
        <v>38</v>
      </c>
      <c r="D24" s="197">
        <v>0.25</v>
      </c>
      <c r="E24" s="198"/>
    </row>
    <row r="25" spans="2:5" ht="15" customHeight="1">
      <c r="B25" s="200" t="s">
        <v>320</v>
      </c>
      <c r="C25" s="194" t="s">
        <v>38</v>
      </c>
      <c r="D25" s="197">
        <v>2.75</v>
      </c>
      <c r="E25" s="198"/>
    </row>
    <row r="26" spans="2:5" s="203" customFormat="1" ht="15" customHeight="1">
      <c r="B26" s="200" t="s">
        <v>310</v>
      </c>
      <c r="C26" s="202" t="s">
        <v>38</v>
      </c>
      <c r="D26" s="197">
        <v>1.15</v>
      </c>
      <c r="E26" s="198"/>
    </row>
    <row r="27" spans="2:5" s="203" customFormat="1" ht="15" customHeight="1">
      <c r="B27" s="200" t="s">
        <v>322</v>
      </c>
      <c r="C27" s="202" t="s">
        <v>38</v>
      </c>
      <c r="D27" s="197">
        <v>0.53</v>
      </c>
      <c r="E27" s="198"/>
    </row>
    <row r="28" spans="2:5" s="203" customFormat="1" ht="15" customHeight="1">
      <c r="B28" s="200" t="s">
        <v>359</v>
      </c>
      <c r="C28" s="202" t="s">
        <v>38</v>
      </c>
      <c r="D28" s="197">
        <v>0.5</v>
      </c>
      <c r="E28" s="198"/>
    </row>
    <row r="29" spans="2:5" s="203" customFormat="1" ht="15" customHeight="1">
      <c r="B29" s="200" t="s">
        <v>16</v>
      </c>
      <c r="C29" s="202" t="s">
        <v>39</v>
      </c>
      <c r="D29" s="197">
        <v>6</v>
      </c>
      <c r="E29" s="198"/>
    </row>
    <row r="30" spans="2:5" s="203" customFormat="1" ht="15" customHeight="1">
      <c r="B30" s="200"/>
      <c r="C30" s="194"/>
      <c r="D30" s="199"/>
      <c r="E30" s="198"/>
    </row>
    <row r="31" spans="2:5" ht="15" customHeight="1">
      <c r="B31" s="196"/>
      <c r="C31" s="194"/>
      <c r="D31" s="199"/>
      <c r="E31" s="201"/>
    </row>
    <row r="32" spans="2:5" ht="15" customHeight="1">
      <c r="B32" s="193" t="s">
        <v>22</v>
      </c>
      <c r="C32" s="194"/>
      <c r="D32" s="199"/>
      <c r="E32" s="201"/>
    </row>
    <row r="33" spans="2:5" ht="15" customHeight="1">
      <c r="B33" s="200" t="s">
        <v>363</v>
      </c>
      <c r="C33" s="194" t="s">
        <v>39</v>
      </c>
      <c r="D33" s="197">
        <v>2.75</v>
      </c>
      <c r="E33" s="201"/>
    </row>
    <row r="34" spans="2:5" s="203" customFormat="1" ht="15" customHeight="1">
      <c r="B34" s="200" t="s">
        <v>21</v>
      </c>
      <c r="C34" s="202" t="s">
        <v>39</v>
      </c>
      <c r="D34" s="197">
        <v>48.85</v>
      </c>
      <c r="E34" s="201"/>
    </row>
    <row r="35" spans="2:5" ht="15" customHeight="1">
      <c r="B35" s="196"/>
      <c r="C35" s="194"/>
      <c r="D35" s="199"/>
      <c r="E35" s="201"/>
    </row>
    <row r="36" spans="2:5" ht="15" customHeight="1">
      <c r="B36" s="193" t="s">
        <v>263</v>
      </c>
      <c r="C36" s="194"/>
      <c r="D36" s="199"/>
      <c r="E36" s="201"/>
    </row>
    <row r="37" spans="2:5" ht="15" customHeight="1">
      <c r="B37" s="200" t="s">
        <v>361</v>
      </c>
      <c r="C37" s="205" t="s">
        <v>39</v>
      </c>
      <c r="D37" s="197">
        <v>9.15</v>
      </c>
      <c r="E37" s="201"/>
    </row>
    <row r="38" spans="2:5" ht="15" customHeight="1">
      <c r="B38" s="200" t="s">
        <v>360</v>
      </c>
      <c r="C38" s="205" t="s">
        <v>39</v>
      </c>
      <c r="D38" s="197">
        <v>8.25</v>
      </c>
      <c r="E38" s="201"/>
    </row>
    <row r="39" spans="2:5" ht="15" customHeight="1">
      <c r="B39" s="200" t="s">
        <v>325</v>
      </c>
      <c r="C39" s="205" t="s">
        <v>9</v>
      </c>
      <c r="D39" s="197">
        <v>1.85</v>
      </c>
      <c r="E39" s="201"/>
    </row>
    <row r="40" spans="2:5" ht="15" customHeight="1">
      <c r="B40" s="200" t="s">
        <v>323</v>
      </c>
      <c r="C40" s="205" t="s">
        <v>39</v>
      </c>
      <c r="D40" s="197">
        <v>48</v>
      </c>
      <c r="E40" s="201"/>
    </row>
    <row r="41" spans="2:5" ht="15" customHeight="1">
      <c r="B41" s="200" t="s">
        <v>324</v>
      </c>
      <c r="C41" s="205" t="s">
        <v>39</v>
      </c>
      <c r="D41" s="197">
        <v>55</v>
      </c>
      <c r="E41" s="201"/>
    </row>
    <row r="42" spans="2:5" ht="15" customHeight="1">
      <c r="B42" s="200" t="s">
        <v>366</v>
      </c>
      <c r="C42" s="205" t="s">
        <v>39</v>
      </c>
      <c r="D42" s="197">
        <v>34</v>
      </c>
      <c r="E42" s="201"/>
    </row>
    <row r="43" spans="2:5" ht="15" customHeight="1">
      <c r="B43" s="200" t="s">
        <v>18</v>
      </c>
      <c r="C43" s="205" t="s">
        <v>39</v>
      </c>
      <c r="D43" s="197">
        <v>7.75</v>
      </c>
      <c r="E43" s="201"/>
    </row>
    <row r="44" spans="2:5" ht="15" customHeight="1">
      <c r="B44" s="200" t="s">
        <v>362</v>
      </c>
      <c r="C44" s="205" t="s">
        <v>39</v>
      </c>
      <c r="D44" s="197">
        <v>8.5</v>
      </c>
      <c r="E44" s="201"/>
    </row>
    <row r="45" spans="2:5" ht="15" customHeight="1">
      <c r="B45" s="200" t="s">
        <v>210</v>
      </c>
      <c r="C45" s="205" t="s">
        <v>39</v>
      </c>
      <c r="D45" s="197">
        <v>38</v>
      </c>
      <c r="E45" s="201"/>
    </row>
    <row r="46" spans="2:5" ht="15" customHeight="1">
      <c r="B46" s="200" t="s">
        <v>48</v>
      </c>
      <c r="C46" s="205" t="s">
        <v>9</v>
      </c>
      <c r="D46" s="197">
        <v>0.3</v>
      </c>
      <c r="E46" s="201"/>
    </row>
    <row r="47" spans="2:5" ht="15" customHeight="1">
      <c r="B47" s="200" t="s">
        <v>48</v>
      </c>
      <c r="C47" s="205" t="s">
        <v>76</v>
      </c>
      <c r="D47" s="197">
        <v>0.18</v>
      </c>
      <c r="E47" s="201"/>
    </row>
    <row r="48" spans="2:5" ht="15" customHeight="1">
      <c r="B48" s="200" t="s">
        <v>208</v>
      </c>
      <c r="C48" s="205" t="s">
        <v>64</v>
      </c>
      <c r="D48" s="197">
        <v>10</v>
      </c>
      <c r="E48" s="201"/>
    </row>
    <row r="49" spans="2:5" ht="15" customHeight="1">
      <c r="B49" s="200" t="s">
        <v>82</v>
      </c>
      <c r="C49" s="205" t="s">
        <v>39</v>
      </c>
      <c r="D49" s="197">
        <v>13</v>
      </c>
      <c r="E49" s="201"/>
    </row>
    <row r="50" spans="2:5" ht="15" customHeight="1">
      <c r="B50" s="200" t="s">
        <v>364</v>
      </c>
      <c r="C50" s="205" t="s">
        <v>64</v>
      </c>
      <c r="D50" s="197">
        <v>9</v>
      </c>
      <c r="E50" s="201"/>
    </row>
    <row r="51" spans="2:5" ht="15" customHeight="1">
      <c r="B51" s="200" t="s">
        <v>148</v>
      </c>
      <c r="C51" s="205" t="s">
        <v>39</v>
      </c>
      <c r="D51" s="197">
        <v>28</v>
      </c>
      <c r="E51" s="201"/>
    </row>
    <row r="52" spans="2:5" ht="15" customHeight="1">
      <c r="B52" s="200" t="s">
        <v>365</v>
      </c>
      <c r="C52" s="205" t="s">
        <v>39</v>
      </c>
      <c r="D52" s="197">
        <v>140</v>
      </c>
      <c r="E52" s="201"/>
    </row>
    <row r="53" spans="2:5" ht="15" customHeight="1">
      <c r="B53" s="206"/>
      <c r="C53" s="207"/>
      <c r="D53" s="208"/>
      <c r="E53" s="209"/>
    </row>
    <row r="54" spans="2:5" ht="15" customHeight="1">
      <c r="B54" s="193" t="s">
        <v>17</v>
      </c>
      <c r="C54" s="194"/>
      <c r="D54" s="199"/>
      <c r="E54" s="201"/>
    </row>
    <row r="55" spans="2:5" ht="15" customHeight="1">
      <c r="B55" s="223" t="s">
        <v>374</v>
      </c>
      <c r="C55" s="194" t="s">
        <v>300</v>
      </c>
      <c r="D55" s="197">
        <v>11.1</v>
      </c>
      <c r="E55" s="201"/>
    </row>
    <row r="56" spans="2:5" ht="15" customHeight="1">
      <c r="B56" s="223" t="s">
        <v>252</v>
      </c>
      <c r="C56" s="194" t="s">
        <v>46</v>
      </c>
      <c r="D56" s="197">
        <v>12.6</v>
      </c>
      <c r="E56" s="201"/>
    </row>
    <row r="57" spans="2:5" ht="15" customHeight="1">
      <c r="B57" s="224" t="s">
        <v>248</v>
      </c>
      <c r="C57" s="194" t="s">
        <v>38</v>
      </c>
      <c r="D57" s="197">
        <v>0.39</v>
      </c>
      <c r="E57" s="201"/>
    </row>
    <row r="58" spans="2:5" ht="15" customHeight="1">
      <c r="B58" s="223" t="s">
        <v>375</v>
      </c>
      <c r="C58" s="194" t="s">
        <v>193</v>
      </c>
      <c r="D58" s="197">
        <v>1.59</v>
      </c>
      <c r="E58" s="201"/>
    </row>
    <row r="59" spans="2:5" ht="15" customHeight="1">
      <c r="B59" s="223" t="s">
        <v>372</v>
      </c>
      <c r="C59" s="194" t="s">
        <v>294</v>
      </c>
      <c r="D59" s="197">
        <v>9.5</v>
      </c>
      <c r="E59" s="201"/>
    </row>
    <row r="60" spans="2:5" ht="15" customHeight="1">
      <c r="B60" s="223" t="s">
        <v>371</v>
      </c>
      <c r="C60" s="194" t="s">
        <v>294</v>
      </c>
      <c r="D60" s="197">
        <v>1.08</v>
      </c>
      <c r="E60" s="201"/>
    </row>
    <row r="61" spans="2:5" ht="15" customHeight="1">
      <c r="B61" s="223" t="s">
        <v>235</v>
      </c>
      <c r="C61" s="194" t="s">
        <v>207</v>
      </c>
      <c r="D61" s="197">
        <v>7.9</v>
      </c>
      <c r="E61" s="201"/>
    </row>
    <row r="62" spans="2:5" ht="15" customHeight="1">
      <c r="B62" s="223" t="s">
        <v>367</v>
      </c>
      <c r="C62" s="194" t="s">
        <v>231</v>
      </c>
      <c r="D62" s="197">
        <v>7.52</v>
      </c>
      <c r="E62" s="201"/>
    </row>
    <row r="63" spans="2:5" ht="15" customHeight="1">
      <c r="B63" s="224" t="s">
        <v>196</v>
      </c>
      <c r="C63" s="194" t="s">
        <v>38</v>
      </c>
      <c r="D63" s="197">
        <v>50.7</v>
      </c>
      <c r="E63" s="201"/>
    </row>
    <row r="64" spans="2:5" ht="15" customHeight="1">
      <c r="B64" s="224" t="s">
        <v>140</v>
      </c>
      <c r="C64" s="194" t="s">
        <v>38</v>
      </c>
      <c r="D64" s="197">
        <v>3</v>
      </c>
      <c r="E64" s="201"/>
    </row>
    <row r="65" spans="2:5" ht="15" customHeight="1">
      <c r="B65" s="223" t="s">
        <v>370</v>
      </c>
      <c r="C65" s="194" t="s">
        <v>290</v>
      </c>
      <c r="D65" s="197">
        <v>12.75</v>
      </c>
      <c r="E65" s="201"/>
    </row>
    <row r="66" spans="2:5" ht="15" customHeight="1">
      <c r="B66" s="223" t="s">
        <v>230</v>
      </c>
      <c r="C66" s="202" t="s">
        <v>133</v>
      </c>
      <c r="D66" s="197">
        <v>9.3</v>
      </c>
      <c r="E66" s="201"/>
    </row>
    <row r="67" spans="2:6" ht="15" customHeight="1">
      <c r="B67" s="223" t="s">
        <v>368</v>
      </c>
      <c r="C67" s="194" t="s">
        <v>290</v>
      </c>
      <c r="D67" s="197">
        <v>18.25</v>
      </c>
      <c r="E67" s="201"/>
      <c r="F67" s="204"/>
    </row>
    <row r="68" spans="2:5" ht="15" customHeight="1">
      <c r="B68" s="224" t="s">
        <v>85</v>
      </c>
      <c r="C68" s="194" t="s">
        <v>133</v>
      </c>
      <c r="D68" s="197">
        <v>20.1</v>
      </c>
      <c r="E68" s="201"/>
    </row>
    <row r="69" spans="2:5" ht="15" customHeight="1">
      <c r="B69" s="223" t="s">
        <v>376</v>
      </c>
      <c r="C69" s="194" t="s">
        <v>231</v>
      </c>
      <c r="D69" s="197">
        <v>10.95</v>
      </c>
      <c r="E69" s="201"/>
    </row>
    <row r="70" spans="2:5" ht="15" customHeight="1">
      <c r="B70" s="223" t="s">
        <v>369</v>
      </c>
      <c r="C70" s="194" t="s">
        <v>290</v>
      </c>
      <c r="D70" s="197">
        <v>4.19</v>
      </c>
      <c r="E70" s="201"/>
    </row>
    <row r="71" spans="2:5" ht="15" customHeight="1">
      <c r="B71" s="223" t="s">
        <v>377</v>
      </c>
      <c r="C71" s="194" t="s">
        <v>46</v>
      </c>
      <c r="D71" s="197">
        <v>42</v>
      </c>
      <c r="E71" s="201"/>
    </row>
    <row r="72" spans="2:5" ht="15" customHeight="1">
      <c r="B72" s="223" t="s">
        <v>378</v>
      </c>
      <c r="C72" s="194" t="s">
        <v>231</v>
      </c>
      <c r="D72" s="197">
        <v>10.15</v>
      </c>
      <c r="E72" s="201"/>
    </row>
    <row r="73" spans="2:5" ht="15" customHeight="1">
      <c r="B73" s="223" t="s">
        <v>204</v>
      </c>
      <c r="C73" s="194" t="s">
        <v>38</v>
      </c>
      <c r="D73" s="197">
        <v>2.1</v>
      </c>
      <c r="E73" s="201"/>
    </row>
    <row r="74" spans="2:5" ht="15" customHeight="1">
      <c r="B74" s="224" t="s">
        <v>75</v>
      </c>
      <c r="C74" s="194" t="s">
        <v>231</v>
      </c>
      <c r="D74" s="197">
        <v>2.5</v>
      </c>
      <c r="E74" s="201"/>
    </row>
    <row r="75" spans="2:5" ht="15" customHeight="1">
      <c r="B75" s="223" t="s">
        <v>92</v>
      </c>
      <c r="C75" s="194" t="s">
        <v>91</v>
      </c>
      <c r="D75" s="197">
        <v>16.3</v>
      </c>
      <c r="E75" s="201"/>
    </row>
    <row r="76" spans="2:5" ht="15" customHeight="1">
      <c r="B76" s="224" t="s">
        <v>249</v>
      </c>
      <c r="C76" s="194" t="s">
        <v>133</v>
      </c>
      <c r="D76" s="197">
        <v>8.75</v>
      </c>
      <c r="E76" s="201"/>
    </row>
    <row r="77" spans="2:5" ht="15" customHeight="1">
      <c r="B77" s="224" t="s">
        <v>253</v>
      </c>
      <c r="C77" s="194" t="s">
        <v>39</v>
      </c>
      <c r="D77" s="197">
        <v>0.75</v>
      </c>
      <c r="E77" s="201"/>
    </row>
    <row r="78" spans="2:5" ht="15" customHeight="1">
      <c r="B78" s="223" t="s">
        <v>379</v>
      </c>
      <c r="C78" s="194" t="s">
        <v>294</v>
      </c>
      <c r="D78" s="197">
        <v>2.35</v>
      </c>
      <c r="E78" s="201"/>
    </row>
    <row r="79" spans="2:5" ht="15" customHeight="1">
      <c r="B79" s="223" t="s">
        <v>137</v>
      </c>
      <c r="C79" s="194" t="s">
        <v>231</v>
      </c>
      <c r="D79" s="197">
        <v>13.15</v>
      </c>
      <c r="E79" s="201"/>
    </row>
    <row r="80" spans="2:5" ht="15" customHeight="1">
      <c r="B80" s="223" t="s">
        <v>201</v>
      </c>
      <c r="C80" s="194" t="s">
        <v>46</v>
      </c>
      <c r="D80" s="197">
        <v>3.1</v>
      </c>
      <c r="E80" s="201"/>
    </row>
    <row r="81" spans="2:5" ht="15" customHeight="1">
      <c r="B81" s="223" t="s">
        <v>380</v>
      </c>
      <c r="C81" s="194" t="s">
        <v>290</v>
      </c>
      <c r="D81" s="197">
        <v>5.6</v>
      </c>
      <c r="E81" s="201"/>
    </row>
    <row r="82" spans="2:5" ht="15" customHeight="1">
      <c r="B82" s="223" t="s">
        <v>393</v>
      </c>
      <c r="C82" s="202" t="s">
        <v>207</v>
      </c>
      <c r="D82" s="197">
        <v>5.85</v>
      </c>
      <c r="E82" s="201"/>
    </row>
    <row r="83" spans="2:5" ht="15" customHeight="1">
      <c r="B83" s="224" t="s">
        <v>198</v>
      </c>
      <c r="C83" s="194" t="s">
        <v>193</v>
      </c>
      <c r="D83" s="197">
        <v>2.4</v>
      </c>
      <c r="E83" s="201"/>
    </row>
    <row r="84" spans="2:5" ht="15" customHeight="1">
      <c r="B84" s="223" t="s">
        <v>381</v>
      </c>
      <c r="C84" s="194" t="s">
        <v>297</v>
      </c>
      <c r="D84" s="197">
        <v>4.23</v>
      </c>
      <c r="E84" s="201"/>
    </row>
    <row r="85" spans="2:5" ht="15" customHeight="1">
      <c r="B85" s="223" t="s">
        <v>382</v>
      </c>
      <c r="C85" s="194" t="s">
        <v>297</v>
      </c>
      <c r="D85" s="197">
        <v>1.65</v>
      </c>
      <c r="E85" s="201"/>
    </row>
    <row r="86" spans="2:5" ht="15" customHeight="1">
      <c r="B86" s="223" t="s">
        <v>390</v>
      </c>
      <c r="C86" s="202" t="s">
        <v>46</v>
      </c>
      <c r="D86" s="197">
        <v>0.2</v>
      </c>
      <c r="E86" s="201"/>
    </row>
    <row r="87" spans="2:5" ht="15" customHeight="1">
      <c r="B87" s="223" t="s">
        <v>138</v>
      </c>
      <c r="C87" s="194" t="s">
        <v>207</v>
      </c>
      <c r="D87" s="197">
        <v>5.7</v>
      </c>
      <c r="E87" s="201"/>
    </row>
    <row r="88" spans="2:5" ht="15" customHeight="1">
      <c r="B88" s="224" t="s">
        <v>236</v>
      </c>
      <c r="C88" s="194" t="s">
        <v>207</v>
      </c>
      <c r="D88" s="197">
        <v>32.4</v>
      </c>
      <c r="E88" s="201"/>
    </row>
    <row r="89" spans="2:5" ht="15" customHeight="1">
      <c r="B89" s="223" t="s">
        <v>383</v>
      </c>
      <c r="C89" s="194" t="s">
        <v>193</v>
      </c>
      <c r="D89" s="197">
        <v>6.1</v>
      </c>
      <c r="E89" s="201"/>
    </row>
    <row r="90" spans="2:5" ht="15" customHeight="1">
      <c r="B90" s="223" t="s">
        <v>373</v>
      </c>
      <c r="C90" s="194" t="s">
        <v>300</v>
      </c>
      <c r="D90" s="197">
        <v>7.95</v>
      </c>
      <c r="E90" s="201"/>
    </row>
    <row r="91" spans="2:5" ht="15" customHeight="1">
      <c r="B91" s="224" t="s">
        <v>139</v>
      </c>
      <c r="C91" s="194" t="s">
        <v>91</v>
      </c>
      <c r="D91" s="197">
        <v>5.55</v>
      </c>
      <c r="E91" s="201"/>
    </row>
    <row r="92" spans="2:5" ht="15" customHeight="1">
      <c r="B92" s="224" t="s">
        <v>254</v>
      </c>
      <c r="C92" s="194" t="s">
        <v>38</v>
      </c>
      <c r="D92" s="197">
        <v>15.15</v>
      </c>
      <c r="E92" s="201"/>
    </row>
    <row r="93" spans="2:5" ht="15" customHeight="1">
      <c r="B93" s="223" t="s">
        <v>384</v>
      </c>
      <c r="C93" s="194" t="s">
        <v>297</v>
      </c>
      <c r="D93" s="197">
        <v>3.25</v>
      </c>
      <c r="E93" s="201"/>
    </row>
    <row r="94" spans="2:5" ht="15" customHeight="1">
      <c r="B94" s="196"/>
      <c r="C94" s="194"/>
      <c r="D94" s="211"/>
      <c r="E94" s="201"/>
    </row>
    <row r="95" spans="2:5" s="203" customFormat="1" ht="15" customHeight="1">
      <c r="B95" s="193" t="s">
        <v>265</v>
      </c>
      <c r="C95" s="194"/>
      <c r="D95" s="199"/>
      <c r="E95" s="201"/>
    </row>
    <row r="96" spans="2:5" s="203" customFormat="1" ht="15" customHeight="1">
      <c r="B96" s="196"/>
      <c r="C96" s="194"/>
      <c r="D96" s="199"/>
      <c r="E96" s="201"/>
    </row>
    <row r="97" spans="2:5" ht="15" customHeight="1">
      <c r="B97" s="193" t="s">
        <v>266</v>
      </c>
      <c r="C97" s="194"/>
      <c r="D97" s="199"/>
      <c r="E97" s="201"/>
    </row>
    <row r="98" spans="2:5" ht="15" customHeight="1">
      <c r="B98" s="200" t="s">
        <v>156</v>
      </c>
      <c r="C98" s="194" t="s">
        <v>267</v>
      </c>
      <c r="D98" s="197">
        <v>17.8</v>
      </c>
      <c r="E98" s="201"/>
    </row>
    <row r="99" spans="2:5" s="203" customFormat="1" ht="15" customHeight="1">
      <c r="B99" s="200" t="s">
        <v>385</v>
      </c>
      <c r="C99" s="202" t="s">
        <v>267</v>
      </c>
      <c r="D99" s="197">
        <v>12.6</v>
      </c>
      <c r="E99" s="201"/>
    </row>
    <row r="100" spans="2:5" ht="15" customHeight="1">
      <c r="B100" s="196" t="s">
        <v>153</v>
      </c>
      <c r="C100" s="202" t="s">
        <v>267</v>
      </c>
      <c r="D100" s="197">
        <v>10.25</v>
      </c>
      <c r="E100" s="201"/>
    </row>
    <row r="101" spans="2:5" ht="15" customHeight="1">
      <c r="B101" s="196"/>
      <c r="C101" s="202"/>
      <c r="D101" s="199"/>
      <c r="E101" s="201"/>
    </row>
    <row r="102" spans="2:5" ht="15" customHeight="1">
      <c r="B102" s="196"/>
      <c r="C102" s="202"/>
      <c r="D102" s="199"/>
      <c r="E102" s="201"/>
    </row>
    <row r="103" spans="2:5" s="203" customFormat="1" ht="15" customHeight="1">
      <c r="B103" s="193" t="s">
        <v>268</v>
      </c>
      <c r="C103" s="194"/>
      <c r="D103" s="199"/>
      <c r="E103" s="201"/>
    </row>
    <row r="104" spans="2:5" s="203" customFormat="1" ht="15" customHeight="1">
      <c r="B104" s="200" t="s">
        <v>269</v>
      </c>
      <c r="C104" s="194" t="s">
        <v>270</v>
      </c>
      <c r="D104" s="210">
        <v>0.025</v>
      </c>
      <c r="E104" s="201"/>
    </row>
    <row r="105" spans="2:5" s="203" customFormat="1" ht="15" customHeight="1">
      <c r="B105" s="196"/>
      <c r="C105" s="194"/>
      <c r="D105" s="199"/>
      <c r="E105" s="201"/>
    </row>
    <row r="106" spans="2:5" s="203" customFormat="1" ht="15" customHeight="1">
      <c r="B106" s="193" t="s">
        <v>271</v>
      </c>
      <c r="C106" s="194"/>
      <c r="D106" s="199"/>
      <c r="E106" s="201"/>
    </row>
    <row r="107" spans="2:5" s="203" customFormat="1" ht="15" customHeight="1">
      <c r="B107" s="200" t="s">
        <v>272</v>
      </c>
      <c r="C107" s="194" t="s">
        <v>270</v>
      </c>
      <c r="D107" s="210">
        <v>0.05</v>
      </c>
      <c r="E107" s="201"/>
    </row>
    <row r="108" spans="2:5" s="203" customFormat="1" ht="15" customHeight="1">
      <c r="B108" s="196"/>
      <c r="C108" s="194"/>
      <c r="D108" s="211"/>
      <c r="E108" s="201"/>
    </row>
    <row r="109" spans="2:5" ht="15" customHeight="1">
      <c r="B109" s="193" t="s">
        <v>273</v>
      </c>
      <c r="C109" s="194"/>
      <c r="D109" s="199"/>
      <c r="E109" s="201"/>
    </row>
    <row r="110" spans="2:5" ht="15" customHeight="1">
      <c r="B110" s="196" t="s">
        <v>274</v>
      </c>
      <c r="C110" s="194" t="s">
        <v>264</v>
      </c>
      <c r="D110" s="197">
        <v>0</v>
      </c>
      <c r="E110" s="201"/>
    </row>
    <row r="111" spans="2:5" ht="15" customHeight="1">
      <c r="B111" s="196"/>
      <c r="C111" s="194"/>
      <c r="D111" s="199"/>
      <c r="E111" s="201"/>
    </row>
    <row r="112" spans="2:5" ht="15" customHeight="1">
      <c r="B112" s="193" t="s">
        <v>275</v>
      </c>
      <c r="C112" s="194"/>
      <c r="D112" s="199"/>
      <c r="E112" s="201"/>
    </row>
    <row r="113" spans="2:5" ht="15" customHeight="1">
      <c r="B113" s="196" t="s">
        <v>276</v>
      </c>
      <c r="C113" s="194" t="s">
        <v>264</v>
      </c>
      <c r="D113" s="197">
        <v>5.5</v>
      </c>
      <c r="E113" s="201"/>
    </row>
    <row r="114" spans="2:5" ht="15" customHeight="1">
      <c r="B114" s="196"/>
      <c r="C114" s="194"/>
      <c r="D114" s="199"/>
      <c r="E114" s="201"/>
    </row>
    <row r="115" spans="2:5" ht="15" customHeight="1">
      <c r="B115" s="193" t="s">
        <v>277</v>
      </c>
      <c r="C115" s="194"/>
      <c r="D115" s="199"/>
      <c r="E115" s="201"/>
    </row>
    <row r="116" spans="2:5" ht="15" customHeight="1">
      <c r="B116" s="196" t="s">
        <v>278</v>
      </c>
      <c r="C116" s="194" t="s">
        <v>270</v>
      </c>
      <c r="D116" s="210">
        <v>0.0675</v>
      </c>
      <c r="E116" s="201"/>
    </row>
    <row r="117" spans="2:5" ht="15" customHeight="1">
      <c r="B117" s="206" t="s">
        <v>279</v>
      </c>
      <c r="C117" s="207" t="s">
        <v>270</v>
      </c>
      <c r="D117" s="212">
        <v>0.075</v>
      </c>
      <c r="E117" s="209"/>
    </row>
    <row r="118" spans="2:4" s="203" customFormat="1" ht="14.25">
      <c r="B118" s="204" t="s">
        <v>280</v>
      </c>
      <c r="C118" s="183"/>
      <c r="D118" s="184"/>
    </row>
    <row r="119" spans="2:4" s="203" customFormat="1" ht="12">
      <c r="B119" s="204" t="s">
        <v>281</v>
      </c>
      <c r="C119" s="183"/>
      <c r="D119" s="184"/>
    </row>
    <row r="120" ht="14.25">
      <c r="B120" s="204" t="s">
        <v>282</v>
      </c>
    </row>
    <row r="121" ht="14.25">
      <c r="B121" s="204" t="s">
        <v>283</v>
      </c>
    </row>
    <row r="122" ht="14.25">
      <c r="B122" s="204" t="s">
        <v>386</v>
      </c>
    </row>
    <row r="124" spans="1:239" s="20" customFormat="1" ht="15">
      <c r="A124" s="213"/>
      <c r="B124" s="214"/>
      <c r="C124" s="214"/>
      <c r="D124" s="214"/>
      <c r="E124" s="215"/>
      <c r="F124" s="216"/>
      <c r="G124" s="217"/>
      <c r="H124" s="216"/>
      <c r="I124" s="217"/>
      <c r="J124" s="217"/>
      <c r="K124" s="217"/>
      <c r="L124" s="214"/>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c r="CP124" s="213"/>
      <c r="CQ124" s="213"/>
      <c r="CR124" s="213"/>
      <c r="CS124" s="213"/>
      <c r="CT124" s="213"/>
      <c r="CU124" s="213"/>
      <c r="CV124" s="213"/>
      <c r="CW124" s="213"/>
      <c r="CX124" s="213"/>
      <c r="CY124" s="213"/>
      <c r="CZ124" s="213"/>
      <c r="DA124" s="213"/>
      <c r="DB124" s="213"/>
      <c r="DC124" s="213"/>
      <c r="DD124" s="213"/>
      <c r="DE124" s="213"/>
      <c r="DF124" s="213"/>
      <c r="DG124" s="213"/>
      <c r="DH124" s="213"/>
      <c r="DI124" s="213"/>
      <c r="DJ124" s="213"/>
      <c r="DK124" s="213"/>
      <c r="DL124" s="213"/>
      <c r="DM124" s="213"/>
      <c r="DN124" s="213"/>
      <c r="DO124" s="213"/>
      <c r="DP124" s="213"/>
      <c r="DQ124" s="213"/>
      <c r="DR124" s="213"/>
      <c r="DS124" s="213"/>
      <c r="DT124" s="213"/>
      <c r="DU124" s="213"/>
      <c r="DV124" s="213"/>
      <c r="DW124" s="213"/>
      <c r="DX124" s="213"/>
      <c r="DY124" s="213"/>
      <c r="DZ124" s="213"/>
      <c r="EA124" s="213"/>
      <c r="EB124" s="213"/>
      <c r="EC124" s="213"/>
      <c r="ED124" s="213"/>
      <c r="EE124" s="213"/>
      <c r="EF124" s="213"/>
      <c r="EG124" s="213"/>
      <c r="EH124" s="213"/>
      <c r="EI124" s="213"/>
      <c r="EJ124" s="213"/>
      <c r="EK124" s="213"/>
      <c r="EL124" s="213"/>
      <c r="EM124" s="213"/>
      <c r="EN124" s="213"/>
      <c r="EO124" s="213"/>
      <c r="EP124" s="213"/>
      <c r="EQ124" s="213"/>
      <c r="ER124" s="213"/>
      <c r="ES124" s="213"/>
      <c r="ET124" s="213"/>
      <c r="EU124" s="213"/>
      <c r="EV124" s="213"/>
      <c r="EW124" s="213"/>
      <c r="EX124" s="213"/>
      <c r="EY124" s="213"/>
      <c r="EZ124" s="213"/>
      <c r="FA124" s="213"/>
      <c r="FB124" s="213"/>
      <c r="FC124" s="213"/>
      <c r="FD124" s="213"/>
      <c r="FE124" s="213"/>
      <c r="FF124" s="213"/>
      <c r="FG124" s="213"/>
      <c r="FH124" s="213"/>
      <c r="FI124" s="213"/>
      <c r="FJ124" s="213"/>
      <c r="FK124" s="213"/>
      <c r="FL124" s="213"/>
      <c r="FM124" s="213"/>
      <c r="FN124" s="213"/>
      <c r="FO124" s="213"/>
      <c r="FP124" s="213"/>
      <c r="FQ124" s="213"/>
      <c r="FR124" s="213"/>
      <c r="FS124" s="213"/>
      <c r="FT124" s="213"/>
      <c r="FU124" s="213"/>
      <c r="FV124" s="213"/>
      <c r="FW124" s="213"/>
      <c r="FX124" s="213"/>
      <c r="FY124" s="213"/>
      <c r="FZ124" s="213"/>
      <c r="GA124" s="213"/>
      <c r="GB124" s="213"/>
      <c r="GC124" s="213"/>
      <c r="GD124" s="213"/>
      <c r="GE124" s="213"/>
      <c r="GF124" s="213"/>
      <c r="GG124" s="213"/>
      <c r="GH124" s="213"/>
      <c r="GI124" s="213"/>
      <c r="GJ124" s="213"/>
      <c r="GK124" s="213"/>
      <c r="GL124" s="213"/>
      <c r="GM124" s="213"/>
      <c r="GN124" s="213"/>
      <c r="GO124" s="213"/>
      <c r="GP124" s="213"/>
      <c r="GQ124" s="213"/>
      <c r="GR124" s="213"/>
      <c r="GS124" s="213"/>
      <c r="GT124" s="213"/>
      <c r="GU124" s="213"/>
      <c r="GV124" s="213"/>
      <c r="GW124" s="213"/>
      <c r="GX124" s="213"/>
      <c r="GY124" s="213"/>
      <c r="GZ124" s="213"/>
      <c r="HA124" s="213"/>
      <c r="HB124" s="213"/>
      <c r="HC124" s="213"/>
      <c r="HD124" s="213"/>
      <c r="HE124" s="213"/>
      <c r="HF124" s="213"/>
      <c r="HG124" s="213"/>
      <c r="HH124" s="213"/>
      <c r="HI124" s="213"/>
      <c r="HJ124" s="213"/>
      <c r="HK124" s="213"/>
      <c r="HL124" s="213"/>
      <c r="HM124" s="213"/>
      <c r="HN124" s="213"/>
      <c r="HO124" s="213"/>
      <c r="HP124" s="213"/>
      <c r="HQ124" s="213"/>
      <c r="HR124" s="213"/>
      <c r="HS124" s="213"/>
      <c r="HT124" s="213"/>
      <c r="HU124" s="213"/>
      <c r="HV124" s="213"/>
      <c r="HW124" s="213"/>
      <c r="HX124" s="213"/>
      <c r="HY124" s="213"/>
      <c r="HZ124" s="213"/>
      <c r="IA124" s="213"/>
      <c r="IB124" s="213"/>
      <c r="IC124" s="213"/>
      <c r="ID124" s="213"/>
      <c r="IE124" s="213"/>
    </row>
    <row r="125" spans="4:8" s="218" customFormat="1" ht="13.5">
      <c r="D125" s="219"/>
      <c r="E125" s="220"/>
      <c r="F125" s="220"/>
      <c r="G125" s="220"/>
      <c r="H125" s="220"/>
    </row>
    <row r="126" spans="4:8" s="218" customFormat="1" ht="13.5">
      <c r="D126" s="219"/>
      <c r="E126" s="220"/>
      <c r="F126" s="220"/>
      <c r="G126" s="220"/>
      <c r="H126" s="220"/>
    </row>
    <row r="127" spans="4:8" s="218" customFormat="1" ht="13.5">
      <c r="D127" s="219"/>
      <c r="E127" s="220"/>
      <c r="F127" s="220"/>
      <c r="G127" s="220"/>
      <c r="H127" s="220"/>
    </row>
    <row r="128" spans="4:8" s="218" customFormat="1" ht="13.5">
      <c r="D128" s="219"/>
      <c r="E128" s="220"/>
      <c r="F128" s="220"/>
      <c r="G128" s="220"/>
      <c r="H128" s="220"/>
    </row>
    <row r="129" spans="4:8" s="218" customFormat="1" ht="13.5">
      <c r="D129" s="219"/>
      <c r="E129" s="220"/>
      <c r="F129" s="220"/>
      <c r="G129" s="220"/>
      <c r="H129" s="220"/>
    </row>
    <row r="130" spans="4:8" s="218" customFormat="1" ht="13.5" customHeight="1">
      <c r="D130" s="219"/>
      <c r="E130" s="220"/>
      <c r="F130" s="220"/>
      <c r="G130" s="220"/>
      <c r="H130" s="220"/>
    </row>
    <row r="131" spans="4:8" s="218" customFormat="1" ht="13.5">
      <c r="D131" s="219"/>
      <c r="E131" s="220"/>
      <c r="F131" s="220"/>
      <c r="G131" s="220"/>
      <c r="H131" s="220"/>
    </row>
    <row r="132" spans="4:8" s="218" customFormat="1" ht="13.5">
      <c r="D132" s="219"/>
      <c r="E132" s="220"/>
      <c r="F132" s="220"/>
      <c r="G132" s="220"/>
      <c r="H132" s="220"/>
    </row>
    <row r="133" spans="4:8" s="218" customFormat="1" ht="13.5">
      <c r="D133" s="219"/>
      <c r="E133" s="220"/>
      <c r="F133" s="220"/>
      <c r="G133" s="220"/>
      <c r="H133" s="220"/>
    </row>
    <row r="134" spans="4:8" s="218" customFormat="1" ht="13.5">
      <c r="D134" s="219"/>
      <c r="E134" s="220"/>
      <c r="F134" s="220"/>
      <c r="G134" s="220"/>
      <c r="H134" s="220"/>
    </row>
    <row r="135" spans="1:38" s="221" customFormat="1" ht="13.5">
      <c r="A135" s="218"/>
      <c r="B135" s="218"/>
      <c r="C135" s="218"/>
      <c r="D135" s="220"/>
      <c r="E135" s="220"/>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row>
    <row r="136" spans="4:8" s="218" customFormat="1" ht="13.5">
      <c r="D136" s="219"/>
      <c r="E136" s="220"/>
      <c r="F136" s="220"/>
      <c r="G136" s="220"/>
      <c r="H136" s="220"/>
    </row>
  </sheetData>
  <sheetProtection/>
  <mergeCells count="1">
    <mergeCell ref="B1:E1"/>
  </mergeCells>
  <hyperlinks>
    <hyperlink ref="D125:H125" location="'Soft White Winter Wheat'!A1" display="EBB1-SWW-09 "/>
    <hyperlink ref="D126:H126" location="'Soft White Spring Wheat'!A1" display="EBB1-SSW-09 "/>
    <hyperlink ref="D127:H127" location="'Hard Red Spring Wheat'!A1" display="EBB1-HRS-09 "/>
    <hyperlink ref="D128:H128" location="'Spring Barley'!A1" display="EBB1-FB-09 "/>
    <hyperlink ref="D130:H130" location="'Spring Lentils'!A1" display="EBB1-Len-09 "/>
    <hyperlink ref="D131:H131" location="'Spring Peas'!A1" display="EBB1-SP-09 "/>
    <hyperlink ref="D133:H133" location="Garbanzos!A1" display="EBB1-Garb-09 "/>
    <hyperlink ref="D134:H134" location="'Spring Canola'!A1" display="EBB1-SC-09 "/>
  </hyperlink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119"/>
  <sheetViews>
    <sheetView zoomScalePageLayoutView="0" workbookViewId="0" topLeftCell="A1">
      <selection activeCell="M54" sqref="M54"/>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2.57421875" style="36" customWidth="1"/>
    <col min="13" max="16384" width="9.140625" style="36" customWidth="1"/>
  </cols>
  <sheetData>
    <row r="1" spans="1:12" ht="33.75" customHeight="1">
      <c r="A1" s="230" t="s">
        <v>387</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66" t="s">
        <v>78</v>
      </c>
      <c r="B7" s="67"/>
      <c r="C7" s="66">
        <v>24</v>
      </c>
      <c r="D7" s="67"/>
      <c r="E7" s="68" t="s">
        <v>9</v>
      </c>
      <c r="F7" s="67"/>
      <c r="G7" s="69">
        <v>38</v>
      </c>
      <c r="H7" s="67"/>
      <c r="I7" s="70">
        <f>C7*G7</f>
        <v>912</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55.8</v>
      </c>
      <c r="J11" s="56"/>
    </row>
    <row r="12" spans="1:10" ht="12">
      <c r="A12" s="78" t="s">
        <v>141</v>
      </c>
      <c r="B12" s="64"/>
      <c r="C12" s="79">
        <v>90</v>
      </c>
      <c r="D12" s="64"/>
      <c r="E12" s="80" t="s">
        <v>38</v>
      </c>
      <c r="F12" s="64"/>
      <c r="G12" s="91">
        <f>DB</f>
        <v>0.62</v>
      </c>
      <c r="H12" s="64"/>
      <c r="I12" s="75">
        <f>C12*G12</f>
        <v>55.8</v>
      </c>
      <c r="J12" s="56"/>
    </row>
    <row r="13" spans="1:10" ht="12">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SUM(I16:I20)</f>
        <v>60.650000000000006</v>
      </c>
      <c r="J15" s="56"/>
    </row>
    <row r="16" spans="1:10" ht="12">
      <c r="A16" s="79" t="s">
        <v>74</v>
      </c>
      <c r="B16" s="64"/>
      <c r="C16" s="79">
        <v>20</v>
      </c>
      <c r="D16" s="64"/>
      <c r="E16" s="80" t="s">
        <v>38</v>
      </c>
      <c r="F16" s="64"/>
      <c r="G16" s="91">
        <f>DN</f>
        <v>0.66</v>
      </c>
      <c r="H16" s="64"/>
      <c r="I16" s="75">
        <f>C16*G16</f>
        <v>13.200000000000001</v>
      </c>
      <c r="J16" s="56"/>
    </row>
    <row r="17" spans="1:10" ht="12">
      <c r="A17" s="79" t="s">
        <v>72</v>
      </c>
      <c r="B17" s="64"/>
      <c r="C17" s="79">
        <v>40</v>
      </c>
      <c r="D17" s="64"/>
      <c r="E17" s="80" t="s">
        <v>38</v>
      </c>
      <c r="F17" s="64"/>
      <c r="G17" s="91">
        <f>Dry</f>
        <v>0.53</v>
      </c>
      <c r="H17" s="64"/>
      <c r="I17" s="75">
        <f>C17*G17</f>
        <v>21.200000000000003</v>
      </c>
      <c r="J17" s="56"/>
    </row>
    <row r="18" spans="1:10" ht="12">
      <c r="A18" s="78" t="s">
        <v>13</v>
      </c>
      <c r="B18" s="64"/>
      <c r="C18" s="79">
        <v>25</v>
      </c>
      <c r="D18" s="64"/>
      <c r="E18" s="89" t="s">
        <v>38</v>
      </c>
      <c r="F18" s="64"/>
      <c r="G18" s="91">
        <f>K</f>
        <v>0.5</v>
      </c>
      <c r="H18" s="64"/>
      <c r="I18" s="85">
        <f>C18*G18</f>
        <v>12.5</v>
      </c>
      <c r="J18" s="56"/>
    </row>
    <row r="19" spans="1:10" ht="12">
      <c r="A19" s="83" t="s">
        <v>79</v>
      </c>
      <c r="B19" s="64"/>
      <c r="C19" s="79">
        <v>5</v>
      </c>
      <c r="D19" s="64"/>
      <c r="E19" s="80" t="s">
        <v>38</v>
      </c>
      <c r="F19" s="64"/>
      <c r="G19" s="91">
        <f>Zinc</f>
        <v>2.75</v>
      </c>
      <c r="H19" s="64"/>
      <c r="I19" s="85">
        <f>C19*G19</f>
        <v>13.75</v>
      </c>
      <c r="J19" s="56"/>
    </row>
    <row r="20" spans="2:10" ht="12">
      <c r="B20" s="64"/>
      <c r="C20" s="79"/>
      <c r="D20" s="64"/>
      <c r="E20" s="80"/>
      <c r="F20" s="64"/>
      <c r="G20" s="82"/>
      <c r="H20" s="64"/>
      <c r="I20" s="85">
        <f>C20*G20</f>
        <v>0</v>
      </c>
      <c r="J20" s="56"/>
    </row>
    <row r="21" spans="1:10" ht="12">
      <c r="A21" s="64"/>
      <c r="B21" s="64"/>
      <c r="C21" s="64"/>
      <c r="D21" s="64"/>
      <c r="E21" s="65"/>
      <c r="F21" s="64"/>
      <c r="G21" s="74"/>
      <c r="H21" s="64"/>
      <c r="I21" s="85"/>
      <c r="J21" s="56"/>
    </row>
    <row r="22" spans="1:10" ht="12.75">
      <c r="A22" s="76" t="s">
        <v>17</v>
      </c>
      <c r="B22" s="64"/>
      <c r="C22" s="64"/>
      <c r="D22" s="64"/>
      <c r="E22" s="65"/>
      <c r="F22" s="64"/>
      <c r="G22" s="74"/>
      <c r="H22" s="64"/>
      <c r="I22" s="86">
        <f>SUM(I23:I27)</f>
        <v>29.65</v>
      </c>
      <c r="J22" s="56"/>
    </row>
    <row r="23" spans="1:10" ht="12">
      <c r="A23" s="78" t="s">
        <v>138</v>
      </c>
      <c r="B23" s="64"/>
      <c r="C23" s="87">
        <v>2</v>
      </c>
      <c r="D23" s="64"/>
      <c r="E23" s="80" t="s">
        <v>207</v>
      </c>
      <c r="F23" s="64"/>
      <c r="G23" s="91">
        <f>Sonalan</f>
        <v>5.7</v>
      </c>
      <c r="H23" s="64"/>
      <c r="I23" s="85">
        <f>C23*G23</f>
        <v>11.4</v>
      </c>
      <c r="J23" s="56"/>
    </row>
    <row r="24" spans="1:10" ht="12">
      <c r="A24" s="79" t="s">
        <v>246</v>
      </c>
      <c r="B24" s="64"/>
      <c r="C24" s="87">
        <v>1</v>
      </c>
      <c r="D24" s="64"/>
      <c r="E24" s="80" t="s">
        <v>207</v>
      </c>
      <c r="F24" s="64"/>
      <c r="G24" s="91">
        <f>DualMagnum</f>
        <v>18.25</v>
      </c>
      <c r="H24" s="64"/>
      <c r="I24" s="85">
        <f>C24*G24</f>
        <v>18.25</v>
      </c>
      <c r="J24" s="56"/>
    </row>
    <row r="25" spans="1:10" ht="12">
      <c r="A25" s="79"/>
      <c r="B25" s="64"/>
      <c r="C25" s="87"/>
      <c r="D25" s="64"/>
      <c r="E25" s="80"/>
      <c r="F25" s="64"/>
      <c r="G25" s="84"/>
      <c r="H25" s="64"/>
      <c r="I25" s="85">
        <f>C25*G25</f>
        <v>0</v>
      </c>
      <c r="J25" s="56"/>
    </row>
    <row r="26" spans="1:10" ht="12">
      <c r="A26" s="79"/>
      <c r="B26" s="64"/>
      <c r="C26" s="79"/>
      <c r="D26" s="64"/>
      <c r="E26" s="80"/>
      <c r="F26" s="64"/>
      <c r="G26" s="84"/>
      <c r="H26" s="64"/>
      <c r="I26" s="85">
        <f>C26*G26</f>
        <v>0</v>
      </c>
      <c r="J26" s="56"/>
    </row>
    <row r="27" spans="1:10" ht="12">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SUM(I30:I33)</f>
        <v>93.35000000000001</v>
      </c>
      <c r="J29" s="56"/>
    </row>
    <row r="30" spans="1:10" ht="12">
      <c r="A30" s="83" t="s">
        <v>18</v>
      </c>
      <c r="B30" s="64"/>
      <c r="C30" s="79">
        <v>1</v>
      </c>
      <c r="D30" s="64"/>
      <c r="E30" s="80" t="s">
        <v>39</v>
      </c>
      <c r="F30" s="64"/>
      <c r="G30" s="81">
        <f>CF</f>
        <v>7.75</v>
      </c>
      <c r="H30" s="64"/>
      <c r="I30" s="85">
        <f>C30*G30</f>
        <v>7.75</v>
      </c>
      <c r="J30" s="56"/>
    </row>
    <row r="31" spans="1:10" ht="12">
      <c r="A31" s="83" t="s">
        <v>145</v>
      </c>
      <c r="B31" s="64"/>
      <c r="C31" s="79">
        <v>1</v>
      </c>
      <c r="D31" s="64"/>
      <c r="E31" s="80" t="s">
        <v>39</v>
      </c>
      <c r="F31" s="64"/>
      <c r="G31" s="81">
        <f>CCW</f>
        <v>34</v>
      </c>
      <c r="H31" s="64"/>
      <c r="I31" s="85">
        <f>C31*G31</f>
        <v>34</v>
      </c>
      <c r="J31" s="56"/>
    </row>
    <row r="32" spans="1:10" ht="12">
      <c r="A32" s="88" t="s">
        <v>47</v>
      </c>
      <c r="B32" s="64"/>
      <c r="C32" s="79">
        <v>24</v>
      </c>
      <c r="D32" s="64"/>
      <c r="E32" s="80" t="s">
        <v>9</v>
      </c>
      <c r="F32" s="64"/>
      <c r="G32" s="81">
        <f>CCombineDB</f>
        <v>1.85</v>
      </c>
      <c r="H32" s="64"/>
      <c r="I32" s="85">
        <f>C32*G32</f>
        <v>44.400000000000006</v>
      </c>
      <c r="J32" s="56"/>
    </row>
    <row r="33" spans="1:10" ht="12">
      <c r="A33" s="78" t="s">
        <v>48</v>
      </c>
      <c r="B33" s="64"/>
      <c r="C33" s="79">
        <v>24</v>
      </c>
      <c r="D33" s="64"/>
      <c r="E33" s="89" t="s">
        <v>9</v>
      </c>
      <c r="F33" s="64"/>
      <c r="G33" s="81">
        <f>CHcwt</f>
        <v>0.3</v>
      </c>
      <c r="H33" s="64"/>
      <c r="I33" s="85">
        <f>C33*G33</f>
        <v>7.199999999999999</v>
      </c>
      <c r="J33" s="56"/>
    </row>
    <row r="34" spans="1:10" ht="12">
      <c r="A34" s="64"/>
      <c r="B34" s="64"/>
      <c r="C34" s="90"/>
      <c r="D34" s="90"/>
      <c r="E34" s="65"/>
      <c r="F34" s="64"/>
      <c r="G34" s="74"/>
      <c r="H34" s="64"/>
      <c r="I34" s="85"/>
      <c r="J34" s="56"/>
    </row>
    <row r="35" spans="1:10" ht="12.75">
      <c r="A35" s="76" t="s">
        <v>22</v>
      </c>
      <c r="B35" s="64"/>
      <c r="C35" s="64"/>
      <c r="D35" s="64"/>
      <c r="E35" s="65"/>
      <c r="F35" s="64"/>
      <c r="G35" s="74"/>
      <c r="H35" s="64"/>
      <c r="I35" s="86">
        <f>SUM(I36:I38)</f>
        <v>51.6</v>
      </c>
      <c r="J35" s="56"/>
    </row>
    <row r="36" spans="1:10" ht="12">
      <c r="A36" s="79" t="s">
        <v>21</v>
      </c>
      <c r="B36" s="64"/>
      <c r="C36" s="79">
        <v>1</v>
      </c>
      <c r="D36" s="64"/>
      <c r="E36" s="80" t="s">
        <v>39</v>
      </c>
      <c r="F36" s="64"/>
      <c r="G36" s="91">
        <f>WaterA</f>
        <v>48.85</v>
      </c>
      <c r="H36" s="64"/>
      <c r="I36" s="85">
        <f>C36*G36</f>
        <v>48.85</v>
      </c>
      <c r="J36" s="56"/>
    </row>
    <row r="37" spans="1:10" ht="12">
      <c r="A37" s="79" t="s">
        <v>88</v>
      </c>
      <c r="B37" s="64"/>
      <c r="C37" s="79">
        <v>1</v>
      </c>
      <c r="D37" s="64"/>
      <c r="E37" s="80" t="s">
        <v>39</v>
      </c>
      <c r="F37" s="64"/>
      <c r="G37" s="91">
        <f>IrrigationR</f>
        <v>2.75</v>
      </c>
      <c r="H37" s="64"/>
      <c r="I37" s="85">
        <f>C37*G37</f>
        <v>2.75</v>
      </c>
      <c r="J37" s="56"/>
    </row>
    <row r="38" spans="1:10" ht="12">
      <c r="A38" s="79"/>
      <c r="B38" s="64"/>
      <c r="C38" s="79"/>
      <c r="D38" s="64"/>
      <c r="E38" s="80"/>
      <c r="F38" s="64"/>
      <c r="G38" s="92"/>
      <c r="H38" s="64"/>
      <c r="I38" s="85">
        <f>C38*G38</f>
        <v>0</v>
      </c>
      <c r="J38" s="56"/>
    </row>
    <row r="39" spans="1:10" ht="5.25" customHeight="1">
      <c r="A39" s="64"/>
      <c r="B39" s="64"/>
      <c r="C39" s="64"/>
      <c r="D39" s="64"/>
      <c r="E39" s="65"/>
      <c r="F39" s="64"/>
      <c r="G39" s="74"/>
      <c r="H39" s="64"/>
      <c r="I39" s="85"/>
      <c r="J39" s="56"/>
    </row>
    <row r="40" spans="1:10" ht="12.75">
      <c r="A40" s="76" t="s">
        <v>149</v>
      </c>
      <c r="B40" s="64"/>
      <c r="C40" s="93"/>
      <c r="D40" s="64"/>
      <c r="E40" s="65"/>
      <c r="F40" s="64"/>
      <c r="G40" s="74"/>
      <c r="H40" s="64"/>
      <c r="I40" s="86">
        <f>SUM(I41:I45)</f>
        <v>61.148</v>
      </c>
      <c r="J40" s="56"/>
    </row>
    <row r="41" spans="1:10" ht="12">
      <c r="A41" s="78" t="s">
        <v>150</v>
      </c>
      <c r="B41" s="64"/>
      <c r="C41" s="88">
        <v>1.28</v>
      </c>
      <c r="D41" s="64"/>
      <c r="E41" s="89" t="s">
        <v>91</v>
      </c>
      <c r="F41" s="64"/>
      <c r="G41" s="91">
        <f>FuelGas</f>
        <v>3.7</v>
      </c>
      <c r="H41" s="64"/>
      <c r="I41" s="85">
        <f>C41*G41</f>
        <v>4.736000000000001</v>
      </c>
      <c r="J41" s="56"/>
    </row>
    <row r="42" spans="1:10" ht="12">
      <c r="A42" s="78" t="s">
        <v>151</v>
      </c>
      <c r="B42" s="64"/>
      <c r="C42" s="88">
        <v>10.69</v>
      </c>
      <c r="D42" s="64"/>
      <c r="E42" s="89" t="s">
        <v>91</v>
      </c>
      <c r="F42" s="64"/>
      <c r="G42" s="91">
        <f>FuelD</f>
        <v>3.6</v>
      </c>
      <c r="H42" s="64"/>
      <c r="I42" s="85">
        <f>C42*G42</f>
        <v>38.484</v>
      </c>
      <c r="J42" s="56"/>
    </row>
    <row r="43" spans="1:10" ht="12">
      <c r="A43" s="78" t="s">
        <v>284</v>
      </c>
      <c r="B43" s="64"/>
      <c r="C43" s="88">
        <v>0.08</v>
      </c>
      <c r="D43" s="64"/>
      <c r="E43" s="89" t="s">
        <v>91</v>
      </c>
      <c r="F43" s="64"/>
      <c r="G43" s="91">
        <f>FuelRD</f>
        <v>4.1</v>
      </c>
      <c r="H43" s="64"/>
      <c r="I43" s="85">
        <f>C43*G43</f>
        <v>0.32799999999999996</v>
      </c>
      <c r="J43" s="56"/>
    </row>
    <row r="44" spans="1:10" ht="12">
      <c r="A44" s="83" t="s">
        <v>152</v>
      </c>
      <c r="B44" s="64"/>
      <c r="C44" s="88">
        <v>1</v>
      </c>
      <c r="D44" s="64"/>
      <c r="E44" s="89" t="s">
        <v>39</v>
      </c>
      <c r="F44" s="64"/>
      <c r="G44" s="91">
        <v>6.53</v>
      </c>
      <c r="H44" s="64"/>
      <c r="I44" s="85">
        <f>C44*G44</f>
        <v>6.53</v>
      </c>
      <c r="J44" s="56"/>
    </row>
    <row r="45" spans="1:10" ht="12">
      <c r="A45" s="83" t="s">
        <v>26</v>
      </c>
      <c r="B45" s="64"/>
      <c r="C45" s="88">
        <v>1</v>
      </c>
      <c r="D45" s="64"/>
      <c r="E45" s="89" t="s">
        <v>39</v>
      </c>
      <c r="F45" s="64"/>
      <c r="G45" s="91">
        <v>11.07</v>
      </c>
      <c r="H45" s="64"/>
      <c r="I45" s="85">
        <f>C45*G45</f>
        <v>11.07</v>
      </c>
      <c r="J45" s="56"/>
    </row>
    <row r="46" spans="1:10" ht="5.25" customHeight="1">
      <c r="A46" s="94"/>
      <c r="B46" s="93"/>
      <c r="C46" s="95"/>
      <c r="D46" s="93"/>
      <c r="E46" s="96"/>
      <c r="F46" s="93"/>
      <c r="G46" s="97"/>
      <c r="H46" s="64"/>
      <c r="I46" s="85"/>
      <c r="J46" s="56"/>
    </row>
    <row r="47" spans="1:10" ht="12.75">
      <c r="A47" s="76" t="s">
        <v>155</v>
      </c>
      <c r="B47" s="64"/>
      <c r="C47" s="93"/>
      <c r="D47" s="64"/>
      <c r="E47" s="65"/>
      <c r="F47" s="64"/>
      <c r="G47" s="74"/>
      <c r="H47" s="64"/>
      <c r="I47" s="86">
        <f>SUM(I48:I50)</f>
        <v>88.64599999999999</v>
      </c>
      <c r="J47" s="56"/>
    </row>
    <row r="48" spans="1:10" ht="12">
      <c r="A48" s="78" t="s">
        <v>156</v>
      </c>
      <c r="B48" s="64"/>
      <c r="C48" s="88">
        <v>2.52</v>
      </c>
      <c r="D48" s="64"/>
      <c r="E48" s="89" t="s">
        <v>42</v>
      </c>
      <c r="F48" s="64"/>
      <c r="G48" s="91">
        <f>Labor</f>
        <v>17.8</v>
      </c>
      <c r="H48" s="64"/>
      <c r="I48" s="85">
        <f>C48*G48</f>
        <v>44.856</v>
      </c>
      <c r="J48" s="56"/>
    </row>
    <row r="49" spans="1:10" ht="12">
      <c r="A49" s="78" t="s">
        <v>158</v>
      </c>
      <c r="B49" s="64"/>
      <c r="C49" s="79">
        <v>3.15</v>
      </c>
      <c r="D49" s="64"/>
      <c r="E49" s="80" t="s">
        <v>42</v>
      </c>
      <c r="F49" s="64"/>
      <c r="G49" s="91">
        <f>IrriL</f>
        <v>12.6</v>
      </c>
      <c r="H49" s="64"/>
      <c r="I49" s="85">
        <f>C49*G49</f>
        <v>39.69</v>
      </c>
      <c r="J49" s="56"/>
    </row>
    <row r="50" spans="1:10" ht="12">
      <c r="A50" s="78" t="s">
        <v>153</v>
      </c>
      <c r="B50" s="64"/>
      <c r="C50" s="79">
        <v>0.4</v>
      </c>
      <c r="D50" s="64"/>
      <c r="E50" s="89" t="s">
        <v>42</v>
      </c>
      <c r="F50" s="64"/>
      <c r="G50" s="91">
        <f>Laborother</f>
        <v>10.25</v>
      </c>
      <c r="H50" s="64"/>
      <c r="I50" s="85">
        <f>C50*G50</f>
        <v>4.1000000000000005</v>
      </c>
      <c r="J50" s="56"/>
    </row>
    <row r="51" spans="1:10" ht="5.25" customHeight="1">
      <c r="A51" s="95"/>
      <c r="B51" s="93"/>
      <c r="C51" s="95"/>
      <c r="D51" s="93"/>
      <c r="E51" s="96"/>
      <c r="F51" s="93"/>
      <c r="G51" s="98"/>
      <c r="H51" s="64"/>
      <c r="I51" s="85"/>
      <c r="J51" s="56"/>
    </row>
    <row r="52" spans="1:10" ht="12.75">
      <c r="A52" s="76" t="s">
        <v>154</v>
      </c>
      <c r="B52" s="64"/>
      <c r="C52" s="93"/>
      <c r="D52" s="64"/>
      <c r="E52" s="65"/>
      <c r="F52" s="64"/>
      <c r="G52" s="99"/>
      <c r="H52" s="64"/>
      <c r="I52" s="86">
        <f>SUM(I53:I54)</f>
        <v>24</v>
      </c>
      <c r="J52" s="56"/>
    </row>
    <row r="53" spans="1:10" ht="12">
      <c r="A53" s="78" t="s">
        <v>244</v>
      </c>
      <c r="B53" s="64"/>
      <c r="C53" s="79">
        <v>24</v>
      </c>
      <c r="D53" s="64"/>
      <c r="E53" s="89" t="s">
        <v>9</v>
      </c>
      <c r="F53" s="64"/>
      <c r="G53" s="91">
        <v>1</v>
      </c>
      <c r="H53" s="64"/>
      <c r="I53" s="85">
        <f>C53*G53</f>
        <v>24</v>
      </c>
      <c r="J53" s="56"/>
    </row>
    <row r="54" spans="1:10" ht="12">
      <c r="A54" s="78"/>
      <c r="B54" s="64"/>
      <c r="C54" s="79"/>
      <c r="D54" s="64"/>
      <c r="E54" s="80"/>
      <c r="F54" s="64"/>
      <c r="G54" s="91"/>
      <c r="H54" s="64"/>
      <c r="I54" s="85">
        <f>C54*G54</f>
        <v>0</v>
      </c>
      <c r="J54" s="56"/>
    </row>
    <row r="55" spans="1:10" ht="6" customHeight="1">
      <c r="A55" s="94"/>
      <c r="B55" s="93"/>
      <c r="C55" s="95"/>
      <c r="D55" s="93"/>
      <c r="E55" s="96"/>
      <c r="F55" s="93"/>
      <c r="G55" s="91"/>
      <c r="H55" s="64"/>
      <c r="I55" s="85"/>
      <c r="J55" s="56"/>
    </row>
    <row r="56" spans="1:10" ht="12.75">
      <c r="A56" s="76" t="s">
        <v>23</v>
      </c>
      <c r="B56" s="64"/>
      <c r="C56" s="64"/>
      <c r="D56" s="64"/>
      <c r="E56" s="65"/>
      <c r="F56" s="64"/>
      <c r="G56" s="74"/>
      <c r="H56" s="64"/>
      <c r="I56" s="86">
        <f>SUM(I57:I58)</f>
        <v>21.25</v>
      </c>
      <c r="J56" s="56"/>
    </row>
    <row r="57" spans="1:10" ht="12">
      <c r="A57" s="79" t="s">
        <v>24</v>
      </c>
      <c r="B57" s="64"/>
      <c r="C57" s="79">
        <v>1</v>
      </c>
      <c r="D57" s="64"/>
      <c r="E57" s="80" t="s">
        <v>39</v>
      </c>
      <c r="F57" s="64"/>
      <c r="G57" s="81">
        <v>21.25</v>
      </c>
      <c r="H57" s="64"/>
      <c r="I57" s="85">
        <f>C57*G57</f>
        <v>21.25</v>
      </c>
      <c r="J57" s="56"/>
    </row>
    <row r="58" spans="1:10" ht="12">
      <c r="A58" s="79"/>
      <c r="B58" s="64"/>
      <c r="C58" s="79"/>
      <c r="D58" s="64"/>
      <c r="E58" s="80"/>
      <c r="F58" s="64"/>
      <c r="G58" s="84"/>
      <c r="H58" s="64"/>
      <c r="I58" s="85">
        <f>C58*G58</f>
        <v>0</v>
      </c>
      <c r="J58" s="56"/>
    </row>
    <row r="59" spans="1:10" ht="4.5" customHeight="1">
      <c r="A59" s="95"/>
      <c r="B59" s="93"/>
      <c r="C59" s="95"/>
      <c r="D59" s="93"/>
      <c r="E59" s="96"/>
      <c r="F59" s="93"/>
      <c r="G59" s="97"/>
      <c r="H59" s="64"/>
      <c r="I59" s="101"/>
      <c r="J59" s="56"/>
    </row>
    <row r="60" spans="1:10" ht="12">
      <c r="A60" s="102" t="s">
        <v>388</v>
      </c>
      <c r="B60" s="64"/>
      <c r="C60" s="233"/>
      <c r="D60" s="231"/>
      <c r="E60" s="231"/>
      <c r="F60" s="231"/>
      <c r="G60" s="231"/>
      <c r="H60" s="64"/>
      <c r="I60" s="91">
        <v>11.14</v>
      </c>
      <c r="J60" s="56"/>
    </row>
    <row r="61" spans="1:10" ht="5.25" customHeight="1">
      <c r="A61" s="64"/>
      <c r="B61" s="64"/>
      <c r="C61" s="64"/>
      <c r="D61" s="64"/>
      <c r="E61" s="65"/>
      <c r="F61" s="64"/>
      <c r="G61" s="64"/>
      <c r="H61" s="64"/>
      <c r="I61" s="85"/>
      <c r="J61" s="56"/>
    </row>
    <row r="62" spans="1:10" ht="12">
      <c r="A62" s="64" t="s">
        <v>27</v>
      </c>
      <c r="B62" s="64"/>
      <c r="C62" s="64"/>
      <c r="D62" s="64"/>
      <c r="E62" s="65"/>
      <c r="F62" s="64"/>
      <c r="G62" s="64"/>
      <c r="H62" s="64"/>
      <c r="I62" s="85">
        <f>SUM($I$11:$I$60)-($I$11+$I$15+$I$22+$I$29+$I$35+$I$40+$I$47+$I$52+$I$56)</f>
        <v>497.2339999999999</v>
      </c>
      <c r="J62" s="56"/>
    </row>
    <row r="63" spans="1:10" ht="12">
      <c r="A63" s="64" t="s">
        <v>28</v>
      </c>
      <c r="B63" s="64"/>
      <c r="C63" s="64"/>
      <c r="D63" s="64"/>
      <c r="E63" s="65"/>
      <c r="F63" s="64"/>
      <c r="G63" s="64"/>
      <c r="H63" s="64"/>
      <c r="I63" s="85">
        <f>I62/C7</f>
        <v>20.71808333333333</v>
      </c>
      <c r="J63" s="56"/>
    </row>
    <row r="64" spans="1:10" ht="5.25" customHeight="1">
      <c r="A64" s="64"/>
      <c r="B64" s="64"/>
      <c r="C64" s="64"/>
      <c r="D64" s="64"/>
      <c r="E64" s="65"/>
      <c r="F64" s="64"/>
      <c r="G64" s="64"/>
      <c r="H64" s="64"/>
      <c r="I64" s="85"/>
      <c r="J64" s="56"/>
    </row>
    <row r="65" spans="1:10" ht="12">
      <c r="A65" s="59" t="s">
        <v>29</v>
      </c>
      <c r="B65" s="59"/>
      <c r="C65" s="59"/>
      <c r="D65" s="59"/>
      <c r="E65" s="60"/>
      <c r="F65" s="59"/>
      <c r="G65" s="59"/>
      <c r="H65" s="59"/>
      <c r="I65" s="103">
        <f>I7-I62</f>
        <v>414.7660000000001</v>
      </c>
      <c r="J65" s="56"/>
    </row>
    <row r="66" spans="1:10" ht="5.25" customHeight="1">
      <c r="A66" s="64"/>
      <c r="B66" s="64"/>
      <c r="C66" s="64"/>
      <c r="D66" s="64"/>
      <c r="E66" s="65"/>
      <c r="F66" s="64"/>
      <c r="G66" s="64"/>
      <c r="H66" s="64"/>
      <c r="I66" s="85"/>
      <c r="J66" s="56"/>
    </row>
    <row r="67" spans="1:10" ht="12.75">
      <c r="A67" s="63" t="s">
        <v>30</v>
      </c>
      <c r="B67" s="64"/>
      <c r="C67" s="64"/>
      <c r="D67" s="64"/>
      <c r="E67" s="65"/>
      <c r="F67" s="64"/>
      <c r="G67" s="64"/>
      <c r="H67" s="64"/>
      <c r="I67" s="85"/>
      <c r="J67" s="56"/>
    </row>
    <row r="68" spans="1:10" ht="12">
      <c r="A68" s="234" t="s">
        <v>63</v>
      </c>
      <c r="B68" s="234"/>
      <c r="C68" s="234"/>
      <c r="D68" s="235"/>
      <c r="E68" s="235"/>
      <c r="F68" s="235"/>
      <c r="G68" s="235"/>
      <c r="H68" s="235"/>
      <c r="I68" s="91">
        <v>1.9</v>
      </c>
      <c r="J68" s="56"/>
    </row>
    <row r="69" spans="1:10" ht="12">
      <c r="A69" s="236" t="s">
        <v>352</v>
      </c>
      <c r="B69" s="236"/>
      <c r="C69" s="236"/>
      <c r="D69" s="235"/>
      <c r="E69" s="235"/>
      <c r="F69" s="235"/>
      <c r="G69" s="235"/>
      <c r="H69" s="235"/>
      <c r="I69" s="91">
        <v>51.12</v>
      </c>
      <c r="J69" s="56"/>
    </row>
    <row r="70" spans="1:10" ht="12">
      <c r="A70" s="237" t="s">
        <v>44</v>
      </c>
      <c r="B70" s="237"/>
      <c r="C70" s="237"/>
      <c r="D70" s="235"/>
      <c r="E70" s="235"/>
      <c r="F70" s="235"/>
      <c r="G70" s="235"/>
      <c r="H70" s="235"/>
      <c r="I70" s="91">
        <v>225</v>
      </c>
      <c r="J70" s="56"/>
    </row>
    <row r="71" spans="1:10" ht="12">
      <c r="A71" s="237" t="s">
        <v>31</v>
      </c>
      <c r="B71" s="237"/>
      <c r="C71" s="237"/>
      <c r="D71" s="235"/>
      <c r="E71" s="235"/>
      <c r="F71" s="235"/>
      <c r="G71" s="235"/>
      <c r="H71" s="235"/>
      <c r="I71" s="91">
        <v>24</v>
      </c>
      <c r="J71" s="56"/>
    </row>
    <row r="72" spans="1:10" ht="12">
      <c r="A72" s="237" t="s">
        <v>32</v>
      </c>
      <c r="B72" s="237"/>
      <c r="C72" s="237"/>
      <c r="D72" s="235"/>
      <c r="E72" s="235"/>
      <c r="F72" s="235"/>
      <c r="G72" s="235"/>
      <c r="H72" s="235"/>
      <c r="I72" s="91">
        <v>32</v>
      </c>
      <c r="J72" s="56"/>
    </row>
    <row r="73" spans="1:10" ht="12">
      <c r="A73" s="237"/>
      <c r="B73" s="237"/>
      <c r="C73" s="237"/>
      <c r="D73" s="235"/>
      <c r="E73" s="235"/>
      <c r="F73" s="235"/>
      <c r="G73" s="235"/>
      <c r="H73" s="235"/>
      <c r="I73" s="88"/>
      <c r="J73" s="56"/>
    </row>
    <row r="74" spans="1:10" ht="12">
      <c r="A74" s="237"/>
      <c r="B74" s="237"/>
      <c r="C74" s="237"/>
      <c r="D74" s="235"/>
      <c r="E74" s="235"/>
      <c r="F74" s="235"/>
      <c r="G74" s="235"/>
      <c r="H74" s="235"/>
      <c r="I74" s="104"/>
      <c r="J74" s="56"/>
    </row>
    <row r="75" spans="1:10" ht="5.25" customHeight="1">
      <c r="A75" s="64"/>
      <c r="B75" s="64"/>
      <c r="C75" s="64"/>
      <c r="D75" s="64"/>
      <c r="E75" s="65"/>
      <c r="F75" s="64"/>
      <c r="G75" s="64"/>
      <c r="H75" s="64"/>
      <c r="I75" s="85"/>
      <c r="J75" s="56"/>
    </row>
    <row r="76" spans="1:10" ht="12.75">
      <c r="A76" s="76" t="s">
        <v>33</v>
      </c>
      <c r="B76" s="64"/>
      <c r="C76" s="64"/>
      <c r="D76" s="64"/>
      <c r="E76" s="65"/>
      <c r="F76" s="64"/>
      <c r="G76" s="64"/>
      <c r="H76" s="64"/>
      <c r="I76" s="85">
        <f>SUM(I67:I74)</f>
        <v>334.02</v>
      </c>
      <c r="J76" s="56"/>
    </row>
    <row r="77" spans="1:10" ht="12.75">
      <c r="A77" s="76" t="s">
        <v>34</v>
      </c>
      <c r="B77" s="64"/>
      <c r="C77" s="64"/>
      <c r="D77" s="64"/>
      <c r="E77" s="65"/>
      <c r="F77" s="64"/>
      <c r="G77" s="64"/>
      <c r="H77" s="64"/>
      <c r="I77" s="85">
        <f>I76/C7</f>
        <v>13.917499999999999</v>
      </c>
      <c r="J77" s="56"/>
    </row>
    <row r="78" spans="1:10" ht="12">
      <c r="A78" s="64"/>
      <c r="B78" s="64"/>
      <c r="C78" s="64"/>
      <c r="D78" s="64"/>
      <c r="E78" s="65"/>
      <c r="F78" s="64"/>
      <c r="G78" s="64"/>
      <c r="H78" s="64"/>
      <c r="I78" s="85"/>
      <c r="J78" s="56"/>
    </row>
    <row r="79" spans="1:10" ht="12.75">
      <c r="A79" s="76" t="s">
        <v>35</v>
      </c>
      <c r="B79" s="64"/>
      <c r="C79" s="64"/>
      <c r="D79" s="64"/>
      <c r="E79" s="65"/>
      <c r="F79" s="64"/>
      <c r="G79" s="64"/>
      <c r="H79" s="64"/>
      <c r="I79" s="85">
        <f>I62+I76</f>
        <v>831.2539999999999</v>
      </c>
      <c r="J79" s="56"/>
    </row>
    <row r="80" spans="1:10" ht="12.75">
      <c r="A80" s="76" t="s">
        <v>36</v>
      </c>
      <c r="B80" s="64"/>
      <c r="C80" s="64"/>
      <c r="D80" s="64"/>
      <c r="E80" s="65"/>
      <c r="F80" s="64"/>
      <c r="G80" s="64"/>
      <c r="H80" s="64"/>
      <c r="I80" s="85">
        <f>I79/C7</f>
        <v>34.63558333333333</v>
      </c>
      <c r="J80" s="56"/>
    </row>
    <row r="81" spans="1:10" ht="12">
      <c r="A81" s="64"/>
      <c r="B81" s="64"/>
      <c r="C81" s="64"/>
      <c r="D81" s="64"/>
      <c r="E81" s="65"/>
      <c r="F81" s="64"/>
      <c r="G81" s="64"/>
      <c r="H81" s="64"/>
      <c r="I81" s="85"/>
      <c r="J81" s="56"/>
    </row>
    <row r="82" spans="1:10" ht="12">
      <c r="A82" s="64" t="s">
        <v>37</v>
      </c>
      <c r="B82" s="64"/>
      <c r="C82" s="64"/>
      <c r="D82" s="64"/>
      <c r="E82" s="65"/>
      <c r="F82" s="64"/>
      <c r="G82" s="64"/>
      <c r="H82" s="64"/>
      <c r="I82" s="85">
        <f>I7-I79</f>
        <v>80.7460000000001</v>
      </c>
      <c r="J82" s="56"/>
    </row>
    <row r="83" spans="1:10" ht="12">
      <c r="A83" s="59"/>
      <c r="B83" s="59"/>
      <c r="C83" s="59"/>
      <c r="D83" s="59"/>
      <c r="E83" s="60"/>
      <c r="F83" s="59"/>
      <c r="G83" s="59"/>
      <c r="H83" s="59"/>
      <c r="I83" s="61"/>
      <c r="J83" s="62"/>
    </row>
    <row r="84" spans="1:10" ht="12">
      <c r="A84" s="67" t="s">
        <v>87</v>
      </c>
      <c r="B84" s="67"/>
      <c r="C84" s="67"/>
      <c r="D84" s="67"/>
      <c r="E84" s="72"/>
      <c r="F84" s="67"/>
      <c r="G84" s="67"/>
      <c r="H84" s="67"/>
      <c r="I84" s="67"/>
      <c r="J84" s="105"/>
    </row>
    <row r="85" spans="1:10" ht="12">
      <c r="A85" s="238" t="s">
        <v>45</v>
      </c>
      <c r="B85" s="238"/>
      <c r="C85" s="238"/>
      <c r="D85" s="238"/>
      <c r="E85" s="238"/>
      <c r="F85" s="238"/>
      <c r="G85" s="238"/>
      <c r="H85" s="238"/>
      <c r="I85" s="238"/>
      <c r="J85" s="93"/>
    </row>
    <row r="86" spans="1:10" ht="12">
      <c r="A86" s="238"/>
      <c r="B86" s="238"/>
      <c r="C86" s="238"/>
      <c r="D86" s="238"/>
      <c r="E86" s="238"/>
      <c r="F86" s="238"/>
      <c r="G86" s="238"/>
      <c r="H86" s="238"/>
      <c r="I86" s="238"/>
      <c r="J86" s="93"/>
    </row>
    <row r="87" spans="1:10" ht="12">
      <c r="A87" s="238"/>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64"/>
      <c r="B90" s="64"/>
      <c r="C90" s="64"/>
      <c r="D90" s="64"/>
      <c r="E90" s="65"/>
      <c r="F90" s="64"/>
      <c r="G90" s="64"/>
      <c r="H90" s="64"/>
      <c r="I90" s="64"/>
      <c r="J90" s="93"/>
    </row>
    <row r="91" spans="1:10" ht="12.75">
      <c r="A91" s="106" t="s">
        <v>52</v>
      </c>
      <c r="B91" s="64"/>
      <c r="C91" s="107" t="s">
        <v>56</v>
      </c>
      <c r="D91" s="64"/>
      <c r="E91" s="65" t="s">
        <v>54</v>
      </c>
      <c r="F91" s="64"/>
      <c r="G91" s="107" t="s">
        <v>55</v>
      </c>
      <c r="H91" s="64"/>
      <c r="I91" s="64"/>
      <c r="J91" s="93"/>
    </row>
    <row r="92" spans="1:10" ht="12">
      <c r="A92" s="64"/>
      <c r="B92" s="64"/>
      <c r="C92" s="108">
        <v>0.1</v>
      </c>
      <c r="D92" s="64"/>
      <c r="E92" s="65"/>
      <c r="F92" s="64"/>
      <c r="G92" s="108">
        <v>0.1</v>
      </c>
      <c r="H92" s="64"/>
      <c r="I92" s="64"/>
      <c r="J92" s="93"/>
    </row>
    <row r="93" spans="1:10" ht="12">
      <c r="A93" s="64"/>
      <c r="B93" s="64"/>
      <c r="C93" s="109"/>
      <c r="D93" s="59"/>
      <c r="E93" s="58" t="s">
        <v>53</v>
      </c>
      <c r="F93" s="59"/>
      <c r="G93" s="109"/>
      <c r="H93" s="64"/>
      <c r="I93" s="64"/>
      <c r="J93" s="93"/>
    </row>
    <row r="94" spans="1:10" ht="12">
      <c r="A94" s="110" t="s">
        <v>49</v>
      </c>
      <c r="B94" s="64"/>
      <c r="C94" s="111">
        <f>E94*(1-C92)</f>
        <v>21.6</v>
      </c>
      <c r="D94" s="112"/>
      <c r="E94" s="113">
        <f>C7</f>
        <v>24</v>
      </c>
      <c r="F94" s="112"/>
      <c r="G94" s="114">
        <f>E94*(1+G92)</f>
        <v>26.400000000000002</v>
      </c>
      <c r="H94" s="64"/>
      <c r="I94" s="64"/>
      <c r="J94" s="93"/>
    </row>
    <row r="95" spans="1:10" ht="4.5" customHeight="1">
      <c r="A95" s="64"/>
      <c r="B95" s="64"/>
      <c r="C95" s="64"/>
      <c r="D95" s="64"/>
      <c r="E95" s="65"/>
      <c r="F95" s="64"/>
      <c r="G95" s="64"/>
      <c r="H95" s="64"/>
      <c r="I95" s="64"/>
      <c r="J95" s="93"/>
    </row>
    <row r="96" spans="1:10" ht="12">
      <c r="A96" s="64" t="s">
        <v>57</v>
      </c>
      <c r="B96" s="64"/>
      <c r="C96" s="115">
        <f>$I$62/C94</f>
        <v>23.020092592592587</v>
      </c>
      <c r="D96" s="64"/>
      <c r="E96" s="115">
        <f>$I$62/E94</f>
        <v>20.71808333333333</v>
      </c>
      <c r="F96" s="64"/>
      <c r="G96" s="115">
        <f>$I$62/G94</f>
        <v>18.834621212121206</v>
      </c>
      <c r="H96" s="64"/>
      <c r="I96" s="64"/>
      <c r="J96" s="93"/>
    </row>
    <row r="97" spans="1:10" ht="4.5" customHeight="1">
      <c r="A97" s="64"/>
      <c r="B97" s="64"/>
      <c r="C97" s="64"/>
      <c r="D97" s="64"/>
      <c r="E97" s="65"/>
      <c r="F97" s="64"/>
      <c r="G97" s="64"/>
      <c r="H97" s="64"/>
      <c r="I97" s="64"/>
      <c r="J97" s="93"/>
    </row>
    <row r="98" spans="1:10" ht="12">
      <c r="A98" s="64" t="s">
        <v>58</v>
      </c>
      <c r="B98" s="64"/>
      <c r="C98" s="115">
        <f>$I$76/C94</f>
        <v>15.463888888888887</v>
      </c>
      <c r="D98" s="64"/>
      <c r="E98" s="115">
        <f>$I$76/E94</f>
        <v>13.917499999999999</v>
      </c>
      <c r="F98" s="64"/>
      <c r="G98" s="115">
        <f>$I$76/G94</f>
        <v>12.652272727272726</v>
      </c>
      <c r="H98" s="64"/>
      <c r="I98" s="64"/>
      <c r="J98" s="93"/>
    </row>
    <row r="99" spans="1:10" ht="3.75" customHeight="1">
      <c r="A99" s="64"/>
      <c r="B99" s="64"/>
      <c r="C99" s="64"/>
      <c r="D99" s="64"/>
      <c r="E99" s="65"/>
      <c r="F99" s="64"/>
      <c r="G99" s="64"/>
      <c r="H99" s="64"/>
      <c r="I99" s="64"/>
      <c r="J99" s="93"/>
    </row>
    <row r="100" spans="1:10" ht="12">
      <c r="A100" s="64" t="s">
        <v>59</v>
      </c>
      <c r="B100" s="64"/>
      <c r="C100" s="115">
        <f>$I$79/C94</f>
        <v>38.48398148148147</v>
      </c>
      <c r="D100" s="64"/>
      <c r="E100" s="115">
        <f>$I$79/E94</f>
        <v>34.63558333333333</v>
      </c>
      <c r="F100" s="64"/>
      <c r="G100" s="115">
        <f>$I$79/G94</f>
        <v>31.486893939393934</v>
      </c>
      <c r="H100" s="64"/>
      <c r="I100" s="64"/>
      <c r="J100" s="93"/>
    </row>
    <row r="101" spans="1:10" ht="5.25" customHeight="1">
      <c r="A101" s="67"/>
      <c r="B101" s="67"/>
      <c r="C101" s="67"/>
      <c r="D101" s="67"/>
      <c r="E101" s="72"/>
      <c r="F101" s="67"/>
      <c r="G101" s="67"/>
      <c r="H101" s="67"/>
      <c r="I101" s="67"/>
      <c r="J101" s="93"/>
    </row>
    <row r="102" spans="1:10" ht="12">
      <c r="A102" s="64"/>
      <c r="B102" s="64"/>
      <c r="C102" s="64"/>
      <c r="D102" s="64"/>
      <c r="E102" s="65"/>
      <c r="F102" s="64"/>
      <c r="G102" s="64"/>
      <c r="H102" s="64"/>
      <c r="I102" s="64"/>
      <c r="J102" s="93"/>
    </row>
    <row r="103" spans="1:10" ht="12">
      <c r="A103" s="64"/>
      <c r="B103" s="64"/>
      <c r="C103" s="59"/>
      <c r="D103" s="59"/>
      <c r="E103" s="60" t="s">
        <v>49</v>
      </c>
      <c r="F103" s="59"/>
      <c r="G103" s="59"/>
      <c r="H103" s="64"/>
      <c r="I103" s="64"/>
      <c r="J103" s="93"/>
    </row>
    <row r="104" spans="1:10" ht="12">
      <c r="A104" s="110" t="s">
        <v>53</v>
      </c>
      <c r="B104" s="64"/>
      <c r="C104" s="116">
        <f>E104*(1-C92)</f>
        <v>34.2</v>
      </c>
      <c r="D104" s="112"/>
      <c r="E104" s="117">
        <f>G7</f>
        <v>38</v>
      </c>
      <c r="F104" s="112"/>
      <c r="G104" s="116">
        <f>E104*(1+G92)</f>
        <v>41.800000000000004</v>
      </c>
      <c r="H104" s="64"/>
      <c r="I104" s="64"/>
      <c r="J104" s="93"/>
    </row>
    <row r="105" spans="1:10" ht="4.5" customHeight="1">
      <c r="A105" s="64"/>
      <c r="B105" s="64"/>
      <c r="C105" s="64"/>
      <c r="D105" s="64"/>
      <c r="E105" s="65"/>
      <c r="F105" s="64"/>
      <c r="G105" s="64"/>
      <c r="H105" s="64"/>
      <c r="I105" s="64"/>
      <c r="J105" s="93"/>
    </row>
    <row r="106" spans="1:10" ht="12">
      <c r="A106" s="64" t="s">
        <v>57</v>
      </c>
      <c r="B106" s="64"/>
      <c r="C106" s="118">
        <f>$I$62/C104</f>
        <v>14.539005847953213</v>
      </c>
      <c r="D106" s="64"/>
      <c r="E106" s="118">
        <f>$I$62/E104</f>
        <v>13.085105263157892</v>
      </c>
      <c r="F106" s="64"/>
      <c r="G106" s="118">
        <f>$I$62/G104</f>
        <v>11.895550239234447</v>
      </c>
      <c r="H106" s="64"/>
      <c r="I106" s="64"/>
      <c r="J106" s="93"/>
    </row>
    <row r="107" spans="1:10" ht="3" customHeight="1">
      <c r="A107" s="64"/>
      <c r="B107" s="64"/>
      <c r="C107" s="64"/>
      <c r="D107" s="64"/>
      <c r="E107" s="65"/>
      <c r="F107" s="64"/>
      <c r="G107" s="64"/>
      <c r="H107" s="64"/>
      <c r="I107" s="64"/>
      <c r="J107" s="93"/>
    </row>
    <row r="108" spans="1:10" ht="12">
      <c r="A108" s="64" t="s">
        <v>58</v>
      </c>
      <c r="B108" s="64"/>
      <c r="C108" s="118">
        <f>$I$76/C104</f>
        <v>9.766666666666666</v>
      </c>
      <c r="D108" s="64"/>
      <c r="E108" s="118">
        <f>$I$76/E104</f>
        <v>8.79</v>
      </c>
      <c r="F108" s="64"/>
      <c r="G108" s="118">
        <f>$I$76/G104</f>
        <v>7.990909090909089</v>
      </c>
      <c r="H108" s="64"/>
      <c r="I108" s="64"/>
      <c r="J108" s="93"/>
    </row>
    <row r="109" spans="1:10" ht="3.75" customHeight="1">
      <c r="A109" s="64"/>
      <c r="B109" s="64"/>
      <c r="C109" s="64"/>
      <c r="D109" s="64"/>
      <c r="E109" s="65"/>
      <c r="F109" s="64"/>
      <c r="G109" s="64"/>
      <c r="H109" s="64"/>
      <c r="I109" s="64"/>
      <c r="J109" s="93"/>
    </row>
    <row r="110" spans="1:10" ht="12">
      <c r="A110" s="64" t="s">
        <v>59</v>
      </c>
      <c r="B110" s="64"/>
      <c r="C110" s="118">
        <f>$I$79/C104</f>
        <v>24.30567251461988</v>
      </c>
      <c r="D110" s="64"/>
      <c r="E110" s="118">
        <f>$I$79/E104</f>
        <v>21.87510526315789</v>
      </c>
      <c r="F110" s="64"/>
      <c r="G110" s="118">
        <f>$I$79/G104</f>
        <v>19.886459330143538</v>
      </c>
      <c r="H110" s="64"/>
      <c r="I110" s="64"/>
      <c r="J110" s="93"/>
    </row>
    <row r="111" spans="1:10" ht="5.25" customHeight="1">
      <c r="A111" s="64"/>
      <c r="B111" s="64"/>
      <c r="C111" s="64"/>
      <c r="D111" s="64"/>
      <c r="E111" s="65"/>
      <c r="F111" s="64"/>
      <c r="G111" s="64"/>
      <c r="H111" s="64"/>
      <c r="I111" s="64"/>
      <c r="J111" s="93"/>
    </row>
    <row r="112" spans="1:10" ht="12">
      <c r="A112" s="59"/>
      <c r="B112" s="59"/>
      <c r="C112" s="59"/>
      <c r="D112" s="59"/>
      <c r="E112" s="60"/>
      <c r="F112" s="59"/>
      <c r="G112" s="59"/>
      <c r="H112" s="59"/>
      <c r="I112" s="59"/>
      <c r="J112" s="93"/>
    </row>
    <row r="113" spans="1:10" ht="12">
      <c r="A113" s="64"/>
      <c r="B113" s="64"/>
      <c r="C113" s="64"/>
      <c r="D113" s="64"/>
      <c r="E113" s="65"/>
      <c r="F113" s="64"/>
      <c r="G113" s="64"/>
      <c r="H113" s="64"/>
      <c r="I113" s="64"/>
      <c r="J113" s="93"/>
    </row>
    <row r="114" spans="1:10" ht="12">
      <c r="A114" s="119" t="s">
        <v>62</v>
      </c>
      <c r="B114" s="64"/>
      <c r="C114" s="237"/>
      <c r="D114" s="237"/>
      <c r="E114" s="237"/>
      <c r="F114" s="64"/>
      <c r="G114" s="64"/>
      <c r="H114" s="64"/>
      <c r="I114" s="64"/>
      <c r="J114" s="93"/>
    </row>
    <row r="115" spans="1:10" ht="12">
      <c r="A115" s="119" t="s">
        <v>60</v>
      </c>
      <c r="B115" s="64"/>
      <c r="C115" s="237"/>
      <c r="D115" s="237"/>
      <c r="E115" s="237"/>
      <c r="F115" s="237"/>
      <c r="G115" s="237"/>
      <c r="H115" s="64"/>
      <c r="I115" s="64"/>
      <c r="J115" s="93"/>
    </row>
    <row r="116" spans="1:10" ht="12">
      <c r="A116" s="119" t="s">
        <v>61</v>
      </c>
      <c r="B116" s="64"/>
      <c r="C116" s="237"/>
      <c r="D116" s="237"/>
      <c r="E116" s="237"/>
      <c r="F116" s="237"/>
      <c r="G116" s="237"/>
      <c r="H116" s="64"/>
      <c r="I116" s="64"/>
      <c r="J116" s="93"/>
    </row>
    <row r="117" spans="1:10" ht="12">
      <c r="A117" s="64"/>
      <c r="B117" s="64"/>
      <c r="C117" s="237"/>
      <c r="D117" s="237"/>
      <c r="E117" s="237"/>
      <c r="F117" s="237"/>
      <c r="G117" s="237"/>
      <c r="H117" s="64"/>
      <c r="I117" s="64"/>
      <c r="J117" s="93"/>
    </row>
    <row r="118" spans="1:10" ht="12">
      <c r="A118" s="64"/>
      <c r="B118" s="64"/>
      <c r="C118" s="237"/>
      <c r="D118" s="237"/>
      <c r="E118" s="237"/>
      <c r="F118" s="237"/>
      <c r="G118" s="237"/>
      <c r="H118" s="64"/>
      <c r="I118" s="64"/>
      <c r="J118" s="93"/>
    </row>
    <row r="119" spans="1:10" ht="12">
      <c r="A119" s="64"/>
      <c r="B119" s="64"/>
      <c r="C119" s="64"/>
      <c r="D119" s="64"/>
      <c r="E119" s="65"/>
      <c r="F119" s="64"/>
      <c r="G119" s="64"/>
      <c r="H119" s="64"/>
      <c r="I119" s="64"/>
      <c r="J119" s="93"/>
    </row>
  </sheetData>
  <sheetProtection/>
  <mergeCells count="24">
    <mergeCell ref="A72:C72"/>
    <mergeCell ref="D72:H72"/>
    <mergeCell ref="A73:C73"/>
    <mergeCell ref="D73:H73"/>
    <mergeCell ref="C117:G117"/>
    <mergeCell ref="C118:G118"/>
    <mergeCell ref="A74:C74"/>
    <mergeCell ref="D74:H74"/>
    <mergeCell ref="A85:I89"/>
    <mergeCell ref="C114:E114"/>
    <mergeCell ref="C115:G115"/>
    <mergeCell ref="C116:G116"/>
    <mergeCell ref="A69:C69"/>
    <mergeCell ref="D69:H69"/>
    <mergeCell ref="A70:C70"/>
    <mergeCell ref="D70:H70"/>
    <mergeCell ref="A71:C71"/>
    <mergeCell ref="D71:H71"/>
    <mergeCell ref="A1:J1"/>
    <mergeCell ref="L7:P7"/>
    <mergeCell ref="L8:Q8"/>
    <mergeCell ref="C60:G60"/>
    <mergeCell ref="A68:C68"/>
    <mergeCell ref="D68:H68"/>
  </mergeCells>
  <printOptions/>
  <pageMargins left="1.25" right="0.75" top="0.5" bottom="0.5" header="0.5" footer="0.5"/>
  <pageSetup horizontalDpi="600" verticalDpi="600" orientation="portrait" scale="85" r:id="rId1"/>
  <headerFooter alignWithMargins="0">
    <oddFooter>&amp;L&amp;A&amp;CUniversity of Idaho&amp;RAERS Dept</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Q120"/>
  <sheetViews>
    <sheetView zoomScalePageLayoutView="0" workbookViewId="0" topLeftCell="A1">
      <selection activeCell="L1" sqref="L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1.8515625" style="36" customWidth="1"/>
    <col min="13" max="16384" width="9.140625" style="36" customWidth="1"/>
  </cols>
  <sheetData>
    <row r="1" spans="1:12" ht="33.75" customHeight="1">
      <c r="A1" s="230" t="s">
        <v>389</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66" t="s">
        <v>80</v>
      </c>
      <c r="B7" s="67"/>
      <c r="C7" s="66">
        <v>32</v>
      </c>
      <c r="D7" s="67"/>
      <c r="E7" s="122" t="s">
        <v>64</v>
      </c>
      <c r="F7" s="67"/>
      <c r="G7" s="69">
        <v>44</v>
      </c>
      <c r="H7" s="67"/>
      <c r="I7" s="70">
        <f>C7*G7</f>
        <v>1408</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108</v>
      </c>
      <c r="J11" s="56"/>
    </row>
    <row r="12" spans="1:11" ht="12">
      <c r="A12" s="171" t="s">
        <v>247</v>
      </c>
      <c r="B12" s="64"/>
      <c r="C12" s="79">
        <v>0.48</v>
      </c>
      <c r="D12" s="64"/>
      <c r="E12" s="80" t="s">
        <v>232</v>
      </c>
      <c r="F12" s="64"/>
      <c r="G12" s="91">
        <f>RRC</f>
        <v>225</v>
      </c>
      <c r="H12" s="64"/>
      <c r="I12" s="75">
        <f>C12*G12</f>
        <v>108</v>
      </c>
      <c r="J12" s="56"/>
      <c r="K12" s="121"/>
    </row>
    <row r="13" spans="1:10" ht="12">
      <c r="A13" s="170" t="s">
        <v>251</v>
      </c>
      <c r="B13" s="64"/>
      <c r="C13" s="79"/>
      <c r="D13" s="93"/>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SUM(I16:I20)</f>
        <v>231.9</v>
      </c>
      <c r="J15" s="56"/>
    </row>
    <row r="16" spans="1:10" ht="12">
      <c r="A16" s="79" t="s">
        <v>74</v>
      </c>
      <c r="B16" s="64"/>
      <c r="C16" s="79">
        <v>200</v>
      </c>
      <c r="D16" s="64"/>
      <c r="E16" s="80" t="s">
        <v>38</v>
      </c>
      <c r="F16" s="64"/>
      <c r="G16" s="91">
        <f>DN</f>
        <v>0.66</v>
      </c>
      <c r="H16" s="64"/>
      <c r="I16" s="75">
        <f>C16*G16</f>
        <v>132</v>
      </c>
      <c r="J16" s="56"/>
    </row>
    <row r="17" spans="1:10" ht="12">
      <c r="A17" s="79" t="s">
        <v>72</v>
      </c>
      <c r="B17" s="64"/>
      <c r="C17" s="79">
        <v>80</v>
      </c>
      <c r="D17" s="64"/>
      <c r="E17" s="80" t="s">
        <v>38</v>
      </c>
      <c r="F17" s="64"/>
      <c r="G17" s="91">
        <f>Dry</f>
        <v>0.53</v>
      </c>
      <c r="H17" s="64"/>
      <c r="I17" s="75">
        <f>C17*G17</f>
        <v>42.400000000000006</v>
      </c>
      <c r="J17" s="56"/>
    </row>
    <row r="18" spans="1:10" ht="12">
      <c r="A18" s="78" t="s">
        <v>13</v>
      </c>
      <c r="B18" s="64"/>
      <c r="C18" s="79">
        <v>100</v>
      </c>
      <c r="D18" s="64"/>
      <c r="E18" s="89" t="s">
        <v>38</v>
      </c>
      <c r="F18" s="64"/>
      <c r="G18" s="91">
        <f>K</f>
        <v>0.5</v>
      </c>
      <c r="H18" s="64"/>
      <c r="I18" s="85">
        <f>C18*G18</f>
        <v>50</v>
      </c>
      <c r="J18" s="56"/>
    </row>
    <row r="19" spans="1:10" ht="12">
      <c r="A19" s="78" t="s">
        <v>14</v>
      </c>
      <c r="B19" s="64"/>
      <c r="C19" s="79">
        <v>30</v>
      </c>
      <c r="D19" s="64"/>
      <c r="E19" s="89" t="s">
        <v>38</v>
      </c>
      <c r="F19" s="64"/>
      <c r="G19" s="91">
        <f>SulfurD</f>
        <v>0.25</v>
      </c>
      <c r="H19" s="64"/>
      <c r="I19" s="85">
        <f>C19*G19</f>
        <v>7.5</v>
      </c>
      <c r="J19" s="56"/>
    </row>
    <row r="20" spans="2:10" ht="12">
      <c r="B20" s="64"/>
      <c r="C20" s="79"/>
      <c r="D20" s="64"/>
      <c r="E20" s="80"/>
      <c r="F20" s="64"/>
      <c r="G20" s="82"/>
      <c r="H20" s="64"/>
      <c r="I20" s="85">
        <f>C20*G20</f>
        <v>0</v>
      </c>
      <c r="J20" s="56"/>
    </row>
    <row r="21" spans="1:10" ht="12">
      <c r="A21" s="64"/>
      <c r="B21" s="64"/>
      <c r="C21" s="64"/>
      <c r="D21" s="64"/>
      <c r="E21" s="65"/>
      <c r="F21" s="64"/>
      <c r="G21" s="74"/>
      <c r="H21" s="64"/>
      <c r="I21" s="85"/>
      <c r="J21" s="56"/>
    </row>
    <row r="22" spans="1:10" ht="12.75">
      <c r="A22" s="76" t="s">
        <v>17</v>
      </c>
      <c r="B22" s="64"/>
      <c r="C22" s="64"/>
      <c r="D22" s="64"/>
      <c r="E22" s="65"/>
      <c r="F22" s="64"/>
      <c r="G22" s="74"/>
      <c r="H22" s="64"/>
      <c r="I22" s="86">
        <f>SUM(I23:I27)</f>
        <v>50.28</v>
      </c>
      <c r="J22" s="56"/>
    </row>
    <row r="23" spans="1:10" ht="12">
      <c r="A23" s="78" t="s">
        <v>249</v>
      </c>
      <c r="B23" s="64"/>
      <c r="C23" s="87">
        <v>2</v>
      </c>
      <c r="D23" s="64"/>
      <c r="E23" s="89" t="s">
        <v>133</v>
      </c>
      <c r="F23" s="64"/>
      <c r="G23" s="91">
        <f>MicroTech</f>
        <v>8.75</v>
      </c>
      <c r="H23" s="64"/>
      <c r="I23" s="85">
        <f>C23*G23</f>
        <v>17.5</v>
      </c>
      <c r="J23" s="56"/>
    </row>
    <row r="24" spans="1:10" ht="12">
      <c r="A24" s="78" t="s">
        <v>140</v>
      </c>
      <c r="B24" s="64"/>
      <c r="C24" s="87">
        <v>8</v>
      </c>
      <c r="D24" s="64"/>
      <c r="E24" s="89" t="s">
        <v>38</v>
      </c>
      <c r="F24" s="64"/>
      <c r="G24" s="91">
        <f>Counter</f>
        <v>3</v>
      </c>
      <c r="H24" s="64"/>
      <c r="I24" s="85">
        <f>C24*G24</f>
        <v>24</v>
      </c>
      <c r="J24" s="56"/>
    </row>
    <row r="25" spans="1:10" ht="12">
      <c r="A25" s="83" t="s">
        <v>392</v>
      </c>
      <c r="B25" s="64"/>
      <c r="C25" s="79">
        <v>40</v>
      </c>
      <c r="D25" s="64"/>
      <c r="E25" s="89" t="s">
        <v>46</v>
      </c>
      <c r="F25" s="64"/>
      <c r="G25" s="91">
        <f>Rpowermax</f>
        <v>0.2</v>
      </c>
      <c r="H25" s="64"/>
      <c r="I25" s="85">
        <f>C25*G25</f>
        <v>8</v>
      </c>
      <c r="J25" s="56"/>
    </row>
    <row r="26" spans="1:10" ht="12">
      <c r="A26" s="78" t="s">
        <v>248</v>
      </c>
      <c r="B26" s="64"/>
      <c r="C26" s="87">
        <v>2</v>
      </c>
      <c r="D26" s="64"/>
      <c r="E26" s="89" t="s">
        <v>38</v>
      </c>
      <c r="F26" s="64"/>
      <c r="G26" s="91">
        <f>AMS</f>
        <v>0.39</v>
      </c>
      <c r="H26" s="64"/>
      <c r="I26" s="85">
        <f>C26*G26</f>
        <v>0.78</v>
      </c>
      <c r="J26" s="56"/>
    </row>
    <row r="27" spans="1:10" ht="12">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315.5</v>
      </c>
      <c r="J29" s="56"/>
    </row>
    <row r="30" spans="1:10" ht="12">
      <c r="A30" s="79" t="s">
        <v>18</v>
      </c>
      <c r="B30" s="64"/>
      <c r="C30" s="79">
        <v>2</v>
      </c>
      <c r="D30" s="64"/>
      <c r="E30" s="80" t="s">
        <v>39</v>
      </c>
      <c r="F30" s="64"/>
      <c r="G30" s="91">
        <f>CF</f>
        <v>7.75</v>
      </c>
      <c r="H30" s="64"/>
      <c r="I30" s="85">
        <f>C30*G30</f>
        <v>15.5</v>
      </c>
      <c r="J30" s="56"/>
    </row>
    <row r="31" spans="1:10" ht="12">
      <c r="A31" s="88" t="s">
        <v>208</v>
      </c>
      <c r="B31" s="64"/>
      <c r="C31" s="79">
        <v>30</v>
      </c>
      <c r="D31" s="64"/>
      <c r="E31" s="80" t="s">
        <v>64</v>
      </c>
      <c r="F31" s="64"/>
      <c r="G31" s="81">
        <f>CCHP</f>
        <v>10</v>
      </c>
      <c r="H31" s="64"/>
      <c r="I31" s="85">
        <f>C31*G31</f>
        <v>300</v>
      </c>
      <c r="J31" s="56"/>
    </row>
    <row r="32" spans="1:10" ht="12">
      <c r="A32" s="88"/>
      <c r="B32" s="64"/>
      <c r="C32" s="79"/>
      <c r="D32" s="64"/>
      <c r="E32" s="80"/>
      <c r="F32" s="64"/>
      <c r="G32" s="81"/>
      <c r="H32" s="64"/>
      <c r="I32" s="85">
        <f>C32*G32</f>
        <v>0</v>
      </c>
      <c r="J32" s="56"/>
    </row>
    <row r="33" spans="1:10" ht="12">
      <c r="A33" s="79"/>
      <c r="B33" s="64"/>
      <c r="C33" s="79"/>
      <c r="D33" s="64"/>
      <c r="E33" s="80"/>
      <c r="F33" s="64"/>
      <c r="G33" s="84"/>
      <c r="H33" s="64"/>
      <c r="I33" s="85">
        <f>C33*G33</f>
        <v>0</v>
      </c>
      <c r="J33" s="56"/>
    </row>
    <row r="34" spans="1:10" ht="12">
      <c r="A34" s="79"/>
      <c r="B34" s="64"/>
      <c r="C34" s="79"/>
      <c r="D34" s="64"/>
      <c r="E34" s="80"/>
      <c r="F34" s="64"/>
      <c r="G34" s="84"/>
      <c r="H34" s="64"/>
      <c r="I34" s="85">
        <f>C34*G34</f>
        <v>0</v>
      </c>
      <c r="J34" s="56"/>
    </row>
    <row r="35" spans="1:10" ht="12">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
      <c r="A37" s="79" t="s">
        <v>21</v>
      </c>
      <c r="B37" s="64"/>
      <c r="C37" s="79">
        <v>1</v>
      </c>
      <c r="D37" s="64"/>
      <c r="E37" s="80" t="s">
        <v>39</v>
      </c>
      <c r="F37" s="64"/>
      <c r="G37" s="91">
        <f>WaterA</f>
        <v>48.85</v>
      </c>
      <c r="H37" s="64"/>
      <c r="I37" s="85">
        <f>C37*G37</f>
        <v>48.85</v>
      </c>
      <c r="J37" s="56"/>
    </row>
    <row r="38" spans="1:10" ht="12">
      <c r="A38" s="79" t="s">
        <v>84</v>
      </c>
      <c r="B38" s="64"/>
      <c r="C38" s="79">
        <v>1</v>
      </c>
      <c r="D38" s="64"/>
      <c r="E38" s="80" t="s">
        <v>39</v>
      </c>
      <c r="F38" s="64"/>
      <c r="G38" s="91">
        <f>IrrigationR</f>
        <v>2.75</v>
      </c>
      <c r="H38" s="64"/>
      <c r="I38" s="85">
        <f>C38*G38</f>
        <v>2.75</v>
      </c>
      <c r="J38" s="56"/>
    </row>
    <row r="39" spans="1:10" ht="12">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62.33700000000001</v>
      </c>
      <c r="J41" s="56"/>
    </row>
    <row r="42" spans="1:10" ht="12">
      <c r="A42" s="78" t="s">
        <v>150</v>
      </c>
      <c r="B42" s="64"/>
      <c r="C42" s="79">
        <v>1.27</v>
      </c>
      <c r="D42" s="64"/>
      <c r="E42" s="89" t="s">
        <v>91</v>
      </c>
      <c r="F42" s="64"/>
      <c r="G42" s="91">
        <f>FuelGas</f>
        <v>3.7</v>
      </c>
      <c r="H42" s="64"/>
      <c r="I42" s="85">
        <f>C42*G42</f>
        <v>4.699000000000001</v>
      </c>
      <c r="J42" s="56"/>
    </row>
    <row r="43" spans="1:10" ht="12">
      <c r="A43" s="78" t="s">
        <v>151</v>
      </c>
      <c r="B43" s="64"/>
      <c r="C43" s="79">
        <v>10.55</v>
      </c>
      <c r="D43" s="64"/>
      <c r="E43" s="89" t="s">
        <v>91</v>
      </c>
      <c r="F43" s="64"/>
      <c r="G43" s="91">
        <f>FuelD</f>
        <v>3.6</v>
      </c>
      <c r="H43" s="64"/>
      <c r="I43" s="85">
        <f>C43*G43</f>
        <v>37.980000000000004</v>
      </c>
      <c r="J43" s="56"/>
    </row>
    <row r="44" spans="1:10" ht="12">
      <c r="A44" s="78" t="s">
        <v>284</v>
      </c>
      <c r="B44" s="64"/>
      <c r="C44" s="79">
        <v>0.08</v>
      </c>
      <c r="D44" s="64"/>
      <c r="E44" s="89" t="s">
        <v>91</v>
      </c>
      <c r="F44" s="64"/>
      <c r="G44" s="91">
        <f>FuelRD</f>
        <v>4.1</v>
      </c>
      <c r="H44" s="64"/>
      <c r="I44" s="85">
        <f>C44*G44</f>
        <v>0.32799999999999996</v>
      </c>
      <c r="J44" s="56"/>
    </row>
    <row r="45" spans="1:10" ht="12">
      <c r="A45" s="83" t="s">
        <v>152</v>
      </c>
      <c r="B45" s="64"/>
      <c r="C45" s="79">
        <v>1</v>
      </c>
      <c r="D45" s="64"/>
      <c r="E45" s="89" t="s">
        <v>39</v>
      </c>
      <c r="F45" s="64"/>
      <c r="G45" s="91">
        <v>6.45</v>
      </c>
      <c r="H45" s="64"/>
      <c r="I45" s="85">
        <f>C45*G45</f>
        <v>6.45</v>
      </c>
      <c r="J45" s="56"/>
    </row>
    <row r="46" spans="1:10" ht="12">
      <c r="A46" s="83" t="s">
        <v>26</v>
      </c>
      <c r="B46" s="64"/>
      <c r="C46" s="79">
        <v>1</v>
      </c>
      <c r="D46" s="64"/>
      <c r="E46" s="89" t="s">
        <v>39</v>
      </c>
      <c r="F46" s="64"/>
      <c r="G46" s="91">
        <v>12.88</v>
      </c>
      <c r="H46" s="64"/>
      <c r="I46" s="85">
        <f>C46*G46</f>
        <v>12.88</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91.319</v>
      </c>
      <c r="J48" s="56"/>
    </row>
    <row r="49" spans="1:10" ht="12">
      <c r="A49" s="78" t="s">
        <v>156</v>
      </c>
      <c r="B49" s="64"/>
      <c r="C49" s="88">
        <v>2.48</v>
      </c>
      <c r="D49" s="64"/>
      <c r="E49" s="89" t="s">
        <v>42</v>
      </c>
      <c r="F49" s="64"/>
      <c r="G49" s="91">
        <f>Labor</f>
        <v>17.8</v>
      </c>
      <c r="H49" s="64"/>
      <c r="I49" s="85">
        <f>C49*G49</f>
        <v>44.144</v>
      </c>
      <c r="J49" s="56"/>
    </row>
    <row r="50" spans="1:10" ht="12">
      <c r="A50" s="78" t="s">
        <v>157</v>
      </c>
      <c r="B50" s="64"/>
      <c r="C50" s="79">
        <v>3.5</v>
      </c>
      <c r="D50" s="64"/>
      <c r="E50" s="80" t="s">
        <v>42</v>
      </c>
      <c r="F50" s="64"/>
      <c r="G50" s="91">
        <f>IrriL</f>
        <v>12.6</v>
      </c>
      <c r="H50" s="64"/>
      <c r="I50" s="85">
        <f>C50*G50</f>
        <v>44.1</v>
      </c>
      <c r="J50" s="56"/>
    </row>
    <row r="51" spans="1:10" ht="12">
      <c r="A51" s="78" t="s">
        <v>153</v>
      </c>
      <c r="B51" s="64"/>
      <c r="C51" s="164">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
      <c r="A54" s="78"/>
      <c r="B54" s="64"/>
      <c r="C54" s="79"/>
      <c r="D54" s="64"/>
      <c r="E54" s="89"/>
      <c r="F54" s="64"/>
      <c r="G54" s="92"/>
      <c r="H54" s="64"/>
      <c r="I54" s="85">
        <f>C54*G54</f>
        <v>0</v>
      </c>
      <c r="J54" s="56"/>
    </row>
    <row r="55" spans="1:10" ht="12">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16.5</v>
      </c>
      <c r="J57" s="56"/>
    </row>
    <row r="58" spans="1:10" ht="12">
      <c r="A58" s="79" t="s">
        <v>24</v>
      </c>
      <c r="B58" s="64"/>
      <c r="C58" s="79">
        <v>1</v>
      </c>
      <c r="D58" s="64"/>
      <c r="E58" s="80" t="s">
        <v>39</v>
      </c>
      <c r="F58" s="64"/>
      <c r="G58" s="81">
        <v>16.5</v>
      </c>
      <c r="H58" s="64"/>
      <c r="I58" s="85">
        <f>C58*G58</f>
        <v>16.5</v>
      </c>
      <c r="J58" s="56"/>
    </row>
    <row r="59" spans="1:10" ht="12">
      <c r="A59" s="79"/>
      <c r="B59" s="64"/>
      <c r="C59" s="79"/>
      <c r="D59" s="64"/>
      <c r="E59" s="80"/>
      <c r="F59" s="64"/>
      <c r="G59" s="84"/>
      <c r="H59" s="64"/>
      <c r="I59" s="85">
        <f>C59*G59</f>
        <v>0</v>
      </c>
      <c r="J59" s="56"/>
    </row>
    <row r="60" spans="1:10" ht="4.5" customHeight="1">
      <c r="A60" s="95"/>
      <c r="B60" s="93"/>
      <c r="C60" s="95"/>
      <c r="D60" s="93"/>
      <c r="E60" s="96"/>
      <c r="F60" s="93"/>
      <c r="G60" s="97"/>
      <c r="H60" s="64"/>
      <c r="I60" s="101"/>
      <c r="J60" s="56"/>
    </row>
    <row r="61" spans="1:10" ht="12">
      <c r="A61" s="102" t="s">
        <v>388</v>
      </c>
      <c r="B61" s="64"/>
      <c r="C61" s="233"/>
      <c r="D61" s="231"/>
      <c r="E61" s="231"/>
      <c r="F61" s="231"/>
      <c r="G61" s="231"/>
      <c r="H61" s="64"/>
      <c r="I61" s="91">
        <v>20.77</v>
      </c>
      <c r="J61" s="56"/>
    </row>
    <row r="62" spans="1:10" ht="5.25" customHeight="1">
      <c r="A62" s="64"/>
      <c r="B62" s="64"/>
      <c r="C62" s="64"/>
      <c r="D62" s="64"/>
      <c r="E62" s="65"/>
      <c r="F62" s="64"/>
      <c r="G62" s="64"/>
      <c r="H62" s="64"/>
      <c r="I62" s="85"/>
      <c r="J62" s="56"/>
    </row>
    <row r="63" spans="1:10" ht="12">
      <c r="A63" s="64" t="s">
        <v>27</v>
      </c>
      <c r="B63" s="64"/>
      <c r="C63" s="64"/>
      <c r="D63" s="64"/>
      <c r="E63" s="65"/>
      <c r="F63" s="64"/>
      <c r="G63" s="64"/>
      <c r="H63" s="64"/>
      <c r="I63" s="85">
        <f>SUM(I11:I61)-(I11+I15+I22+I29+I36+I41+I48+I57)</f>
        <v>948.2059999999999</v>
      </c>
      <c r="J63" s="56"/>
    </row>
    <row r="64" spans="1:10" ht="12">
      <c r="A64" s="64" t="s">
        <v>28</v>
      </c>
      <c r="B64" s="64"/>
      <c r="C64" s="64"/>
      <c r="D64" s="64"/>
      <c r="E64" s="65"/>
      <c r="F64" s="64"/>
      <c r="G64" s="64"/>
      <c r="H64" s="64"/>
      <c r="I64" s="85">
        <f>I63/C7</f>
        <v>29.631437499999997</v>
      </c>
      <c r="J64" s="56"/>
    </row>
    <row r="65" spans="1:10" ht="5.25" customHeight="1">
      <c r="A65" s="64"/>
      <c r="B65" s="64"/>
      <c r="C65" s="64"/>
      <c r="D65" s="64"/>
      <c r="E65" s="65"/>
      <c r="F65" s="64"/>
      <c r="G65" s="64"/>
      <c r="H65" s="64"/>
      <c r="I65" s="85"/>
      <c r="J65" s="56"/>
    </row>
    <row r="66" spans="1:10" ht="12">
      <c r="A66" s="59" t="s">
        <v>29</v>
      </c>
      <c r="B66" s="59"/>
      <c r="C66" s="59"/>
      <c r="D66" s="59"/>
      <c r="E66" s="60"/>
      <c r="F66" s="59"/>
      <c r="G66" s="59"/>
      <c r="H66" s="59"/>
      <c r="I66" s="103">
        <f>I7-I63</f>
        <v>459.7940000000001</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
      <c r="A69" s="234" t="s">
        <v>63</v>
      </c>
      <c r="B69" s="234"/>
      <c r="C69" s="234"/>
      <c r="D69" s="235"/>
      <c r="E69" s="235"/>
      <c r="F69" s="235"/>
      <c r="G69" s="235"/>
      <c r="H69" s="235"/>
      <c r="I69" s="91">
        <v>1.49</v>
      </c>
      <c r="J69" s="56"/>
    </row>
    <row r="70" spans="1:10" ht="12">
      <c r="A70" s="236" t="s">
        <v>352</v>
      </c>
      <c r="B70" s="236"/>
      <c r="C70" s="236"/>
      <c r="D70" s="235"/>
      <c r="E70" s="235"/>
      <c r="F70" s="235"/>
      <c r="G70" s="235"/>
      <c r="H70" s="235"/>
      <c r="I70" s="91">
        <v>51.39</v>
      </c>
      <c r="J70" s="56"/>
    </row>
    <row r="71" spans="1:10" ht="12">
      <c r="A71" s="237" t="s">
        <v>44</v>
      </c>
      <c r="B71" s="237"/>
      <c r="C71" s="237"/>
      <c r="D71" s="235"/>
      <c r="E71" s="235"/>
      <c r="F71" s="235"/>
      <c r="G71" s="235"/>
      <c r="H71" s="235"/>
      <c r="I71" s="91">
        <v>250</v>
      </c>
      <c r="J71" s="56"/>
    </row>
    <row r="72" spans="1:10" ht="12">
      <c r="A72" s="237" t="s">
        <v>31</v>
      </c>
      <c r="B72" s="237"/>
      <c r="C72" s="237"/>
      <c r="D72" s="235"/>
      <c r="E72" s="235"/>
      <c r="F72" s="235"/>
      <c r="G72" s="235"/>
      <c r="H72" s="235"/>
      <c r="I72" s="91">
        <v>23</v>
      </c>
      <c r="J72" s="56"/>
    </row>
    <row r="73" spans="1:10" ht="12">
      <c r="A73" s="237" t="s">
        <v>32</v>
      </c>
      <c r="B73" s="237"/>
      <c r="C73" s="237"/>
      <c r="D73" s="235"/>
      <c r="E73" s="235"/>
      <c r="F73" s="235"/>
      <c r="G73" s="235"/>
      <c r="H73" s="235"/>
      <c r="I73" s="91">
        <v>60</v>
      </c>
      <c r="J73" s="56"/>
    </row>
    <row r="74" spans="1:10" ht="12">
      <c r="A74" s="237"/>
      <c r="B74" s="237"/>
      <c r="C74" s="237"/>
      <c r="D74" s="235"/>
      <c r="E74" s="235"/>
      <c r="F74" s="235"/>
      <c r="G74" s="235"/>
      <c r="H74" s="235"/>
      <c r="I74" s="88"/>
      <c r="J74" s="56"/>
    </row>
    <row r="75" spans="1:10" ht="12">
      <c r="A75" s="237"/>
      <c r="B75" s="237"/>
      <c r="C75" s="237"/>
      <c r="D75" s="235"/>
      <c r="E75" s="235"/>
      <c r="F75" s="235"/>
      <c r="G75" s="235"/>
      <c r="H75" s="235"/>
      <c r="I75" s="104"/>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385.88</v>
      </c>
      <c r="J77" s="56"/>
    </row>
    <row r="78" spans="1:10" ht="12.75">
      <c r="A78" s="76" t="s">
        <v>34</v>
      </c>
      <c r="B78" s="64"/>
      <c r="C78" s="64"/>
      <c r="D78" s="64"/>
      <c r="E78" s="65"/>
      <c r="F78" s="64"/>
      <c r="G78" s="64"/>
      <c r="H78" s="64"/>
      <c r="I78" s="85">
        <f>I77/C7</f>
        <v>12.05875</v>
      </c>
      <c r="J78" s="56"/>
    </row>
    <row r="79" spans="1:10" ht="12">
      <c r="A79" s="64"/>
      <c r="B79" s="64"/>
      <c r="C79" s="64"/>
      <c r="D79" s="64"/>
      <c r="E79" s="65"/>
      <c r="F79" s="64"/>
      <c r="G79" s="64"/>
      <c r="H79" s="64"/>
      <c r="I79" s="85"/>
      <c r="J79" s="56"/>
    </row>
    <row r="80" spans="1:10" ht="12.75">
      <c r="A80" s="76" t="s">
        <v>35</v>
      </c>
      <c r="B80" s="64"/>
      <c r="C80" s="64"/>
      <c r="D80" s="64"/>
      <c r="E80" s="65"/>
      <c r="F80" s="64"/>
      <c r="G80" s="64"/>
      <c r="H80" s="64"/>
      <c r="I80" s="85">
        <f>I63+I77</f>
        <v>1334.0859999999998</v>
      </c>
      <c r="J80" s="56"/>
    </row>
    <row r="81" spans="1:10" ht="12.75">
      <c r="A81" s="76" t="s">
        <v>36</v>
      </c>
      <c r="B81" s="64"/>
      <c r="C81" s="64"/>
      <c r="D81" s="64"/>
      <c r="E81" s="65"/>
      <c r="F81" s="64"/>
      <c r="G81" s="64"/>
      <c r="H81" s="64"/>
      <c r="I81" s="85">
        <f>I80/C7</f>
        <v>41.69018749999999</v>
      </c>
      <c r="J81" s="56"/>
    </row>
    <row r="82" spans="1:10" ht="12">
      <c r="A82" s="64"/>
      <c r="B82" s="64"/>
      <c r="C82" s="64"/>
      <c r="D82" s="64"/>
      <c r="E82" s="65"/>
      <c r="F82" s="64"/>
      <c r="G82" s="64"/>
      <c r="H82" s="64"/>
      <c r="I82" s="85"/>
      <c r="J82" s="56"/>
    </row>
    <row r="83" spans="1:10" ht="12">
      <c r="A83" s="64" t="s">
        <v>37</v>
      </c>
      <c r="B83" s="64"/>
      <c r="C83" s="64"/>
      <c r="D83" s="64"/>
      <c r="E83" s="65"/>
      <c r="F83" s="64"/>
      <c r="G83" s="64"/>
      <c r="H83" s="64"/>
      <c r="I83" s="85">
        <f>I7-I80</f>
        <v>73.91400000000021</v>
      </c>
      <c r="J83" s="56"/>
    </row>
    <row r="84" spans="1:10" ht="12">
      <c r="A84" s="59"/>
      <c r="B84" s="59"/>
      <c r="C84" s="59"/>
      <c r="D84" s="59"/>
      <c r="E84" s="60"/>
      <c r="F84" s="59"/>
      <c r="G84" s="59"/>
      <c r="H84" s="59"/>
      <c r="I84" s="61"/>
      <c r="J84" s="62"/>
    </row>
    <row r="85" spans="1:10" ht="12">
      <c r="A85" s="67" t="s">
        <v>87</v>
      </c>
      <c r="B85" s="67"/>
      <c r="C85" s="67"/>
      <c r="D85" s="67"/>
      <c r="E85" s="72"/>
      <c r="F85" s="67"/>
      <c r="G85" s="67"/>
      <c r="H85" s="67"/>
      <c r="I85" s="67"/>
      <c r="J85" s="105"/>
    </row>
    <row r="86" spans="1:10" ht="12">
      <c r="A86" s="238" t="s">
        <v>45</v>
      </c>
      <c r="B86" s="238"/>
      <c r="C86" s="238"/>
      <c r="D86" s="238"/>
      <c r="E86" s="238"/>
      <c r="F86" s="238"/>
      <c r="G86" s="238"/>
      <c r="H86" s="238"/>
      <c r="I86" s="238"/>
      <c r="J86" s="93"/>
    </row>
    <row r="87" spans="1:10" ht="12">
      <c r="A87" s="238"/>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238"/>
      <c r="B90" s="238"/>
      <c r="C90" s="238"/>
      <c r="D90" s="238"/>
      <c r="E90" s="238"/>
      <c r="F90" s="238"/>
      <c r="G90" s="238"/>
      <c r="H90" s="238"/>
      <c r="I90" s="238"/>
      <c r="J90" s="93"/>
    </row>
    <row r="91" spans="1:10" ht="12">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
      <c r="A93" s="64"/>
      <c r="B93" s="64"/>
      <c r="C93" s="108">
        <v>0.1</v>
      </c>
      <c r="D93" s="64"/>
      <c r="E93" s="65"/>
      <c r="F93" s="64"/>
      <c r="G93" s="108">
        <v>0.1</v>
      </c>
      <c r="H93" s="64"/>
      <c r="I93" s="64"/>
      <c r="J93" s="93"/>
    </row>
    <row r="94" spans="1:10" ht="12">
      <c r="A94" s="64"/>
      <c r="B94" s="64"/>
      <c r="C94" s="109"/>
      <c r="D94" s="59"/>
      <c r="E94" s="58" t="s">
        <v>53</v>
      </c>
      <c r="F94" s="59"/>
      <c r="G94" s="109"/>
      <c r="H94" s="64"/>
      <c r="I94" s="64"/>
      <c r="J94" s="93"/>
    </row>
    <row r="95" spans="1:10" ht="12">
      <c r="A95" s="110" t="s">
        <v>49</v>
      </c>
      <c r="B95" s="64"/>
      <c r="C95" s="111">
        <f>E95*(1-C93)</f>
        <v>28.8</v>
      </c>
      <c r="D95" s="112"/>
      <c r="E95" s="113">
        <f>C7</f>
        <v>32</v>
      </c>
      <c r="F95" s="112"/>
      <c r="G95" s="114">
        <f>E95*(1+G93)</f>
        <v>35.2</v>
      </c>
      <c r="H95" s="64"/>
      <c r="I95" s="64"/>
      <c r="J95" s="93"/>
    </row>
    <row r="96" spans="1:10" ht="4.5" customHeight="1">
      <c r="A96" s="64"/>
      <c r="B96" s="64"/>
      <c r="C96" s="64"/>
      <c r="D96" s="64"/>
      <c r="E96" s="65"/>
      <c r="F96" s="64"/>
      <c r="G96" s="64"/>
      <c r="H96" s="64"/>
      <c r="I96" s="64"/>
      <c r="J96" s="93"/>
    </row>
    <row r="97" spans="1:10" ht="12">
      <c r="A97" s="64" t="s">
        <v>57</v>
      </c>
      <c r="B97" s="64"/>
      <c r="C97" s="115">
        <f>$I$63/C95</f>
        <v>32.92381944444444</v>
      </c>
      <c r="D97" s="64"/>
      <c r="E97" s="115">
        <f>$I$63/E95</f>
        <v>29.631437499999997</v>
      </c>
      <c r="F97" s="64"/>
      <c r="G97" s="115">
        <f>$I$63/G95</f>
        <v>26.93767045454545</v>
      </c>
      <c r="H97" s="64"/>
      <c r="I97" s="64"/>
      <c r="J97" s="93"/>
    </row>
    <row r="98" spans="1:10" ht="4.5" customHeight="1">
      <c r="A98" s="64"/>
      <c r="B98" s="64"/>
      <c r="C98" s="64"/>
      <c r="D98" s="64"/>
      <c r="E98" s="65"/>
      <c r="F98" s="64"/>
      <c r="G98" s="64"/>
      <c r="H98" s="64"/>
      <c r="I98" s="64"/>
      <c r="J98" s="93"/>
    </row>
    <row r="99" spans="1:10" ht="12">
      <c r="A99" s="64" t="s">
        <v>58</v>
      </c>
      <c r="B99" s="64"/>
      <c r="C99" s="115">
        <f>$I$77/C95</f>
        <v>13.39861111111111</v>
      </c>
      <c r="D99" s="64"/>
      <c r="E99" s="115">
        <f>$I$77/E95</f>
        <v>12.05875</v>
      </c>
      <c r="F99" s="64"/>
      <c r="G99" s="115">
        <f>$I$77/G95</f>
        <v>10.962499999999999</v>
      </c>
      <c r="H99" s="64"/>
      <c r="I99" s="64"/>
      <c r="J99" s="93"/>
    </row>
    <row r="100" spans="1:10" ht="3.75" customHeight="1">
      <c r="A100" s="64"/>
      <c r="B100" s="64"/>
      <c r="C100" s="64"/>
      <c r="D100" s="64"/>
      <c r="E100" s="65"/>
      <c r="F100" s="64"/>
      <c r="G100" s="64"/>
      <c r="H100" s="64"/>
      <c r="I100" s="64"/>
      <c r="J100" s="93"/>
    </row>
    <row r="101" spans="1:10" ht="12">
      <c r="A101" s="64" t="s">
        <v>59</v>
      </c>
      <c r="B101" s="64"/>
      <c r="C101" s="115">
        <f>$I$80/C95</f>
        <v>46.32243055555555</v>
      </c>
      <c r="D101" s="64"/>
      <c r="E101" s="115">
        <f>$I$80/E95</f>
        <v>41.69018749999999</v>
      </c>
      <c r="F101" s="64"/>
      <c r="G101" s="115">
        <f>$I$80/G95</f>
        <v>37.900170454545446</v>
      </c>
      <c r="H101" s="64"/>
      <c r="I101" s="64"/>
      <c r="J101" s="93"/>
    </row>
    <row r="102" spans="1:10" ht="5.25" customHeight="1">
      <c r="A102" s="67"/>
      <c r="B102" s="67"/>
      <c r="C102" s="67"/>
      <c r="D102" s="67"/>
      <c r="E102" s="72"/>
      <c r="F102" s="67"/>
      <c r="G102" s="67"/>
      <c r="H102" s="67"/>
      <c r="I102" s="67"/>
      <c r="J102" s="93"/>
    </row>
    <row r="103" spans="1:10" ht="12">
      <c r="A103" s="64"/>
      <c r="B103" s="64"/>
      <c r="C103" s="64"/>
      <c r="D103" s="64"/>
      <c r="E103" s="65"/>
      <c r="F103" s="64"/>
      <c r="G103" s="64"/>
      <c r="H103" s="64"/>
      <c r="I103" s="64"/>
      <c r="J103" s="93"/>
    </row>
    <row r="104" spans="1:10" ht="12">
      <c r="A104" s="64"/>
      <c r="B104" s="64"/>
      <c r="C104" s="59"/>
      <c r="D104" s="59"/>
      <c r="E104" s="60" t="s">
        <v>49</v>
      </c>
      <c r="F104" s="59"/>
      <c r="G104" s="59"/>
      <c r="H104" s="64"/>
      <c r="I104" s="64"/>
      <c r="J104" s="93"/>
    </row>
    <row r="105" spans="1:10" ht="12">
      <c r="A105" s="110" t="s">
        <v>53</v>
      </c>
      <c r="B105" s="64"/>
      <c r="C105" s="116">
        <f>E105*(1-C93)</f>
        <v>39.6</v>
      </c>
      <c r="D105" s="112"/>
      <c r="E105" s="117">
        <f>G7</f>
        <v>44</v>
      </c>
      <c r="F105" s="112"/>
      <c r="G105" s="116">
        <f>E105*(1+G93)</f>
        <v>48.400000000000006</v>
      </c>
      <c r="H105" s="64"/>
      <c r="I105" s="64"/>
      <c r="J105" s="93"/>
    </row>
    <row r="106" spans="1:10" ht="4.5" customHeight="1">
      <c r="A106" s="64"/>
      <c r="B106" s="64"/>
      <c r="C106" s="64"/>
      <c r="D106" s="64"/>
      <c r="E106" s="65"/>
      <c r="F106" s="64"/>
      <c r="G106" s="64"/>
      <c r="H106" s="64"/>
      <c r="I106" s="64"/>
      <c r="J106" s="93"/>
    </row>
    <row r="107" spans="1:10" ht="12">
      <c r="A107" s="64" t="s">
        <v>57</v>
      </c>
      <c r="B107" s="64"/>
      <c r="C107" s="118">
        <f>$I$63/C105</f>
        <v>23.944595959595958</v>
      </c>
      <c r="D107" s="64"/>
      <c r="E107" s="118">
        <f>$I$63/E105</f>
        <v>21.550136363636362</v>
      </c>
      <c r="F107" s="64"/>
      <c r="G107" s="118">
        <f>$I$63/G105</f>
        <v>19.591033057851234</v>
      </c>
      <c r="H107" s="64"/>
      <c r="I107" s="64"/>
      <c r="J107" s="93"/>
    </row>
    <row r="108" spans="1:10" ht="3" customHeight="1">
      <c r="A108" s="64"/>
      <c r="B108" s="64"/>
      <c r="C108" s="64"/>
      <c r="D108" s="64"/>
      <c r="E108" s="65"/>
      <c r="F108" s="64"/>
      <c r="G108" s="64"/>
      <c r="H108" s="64"/>
      <c r="I108" s="64"/>
      <c r="J108" s="93"/>
    </row>
    <row r="109" spans="1:10" ht="12">
      <c r="A109" s="64" t="s">
        <v>58</v>
      </c>
      <c r="B109" s="64"/>
      <c r="C109" s="118">
        <f>$I$77/C105</f>
        <v>9.744444444444444</v>
      </c>
      <c r="D109" s="64"/>
      <c r="E109" s="118">
        <f>$I$77/E105</f>
        <v>8.77</v>
      </c>
      <c r="F109" s="64"/>
      <c r="G109" s="118">
        <f>$I$77/G105</f>
        <v>7.972727272727272</v>
      </c>
      <c r="H109" s="64"/>
      <c r="I109" s="64"/>
      <c r="J109" s="93"/>
    </row>
    <row r="110" spans="1:10" ht="3.75" customHeight="1">
      <c r="A110" s="64"/>
      <c r="B110" s="64"/>
      <c r="C110" s="64"/>
      <c r="D110" s="64"/>
      <c r="E110" s="65"/>
      <c r="F110" s="64"/>
      <c r="G110" s="64"/>
      <c r="H110" s="64"/>
      <c r="I110" s="64"/>
      <c r="J110" s="93"/>
    </row>
    <row r="111" spans="1:10" ht="12">
      <c r="A111" s="64" t="s">
        <v>59</v>
      </c>
      <c r="B111" s="64"/>
      <c r="C111" s="118">
        <f>$I$80/C105</f>
        <v>33.6890404040404</v>
      </c>
      <c r="D111" s="64"/>
      <c r="E111" s="118">
        <f>$I$80/E105</f>
        <v>30.320136363636358</v>
      </c>
      <c r="F111" s="64"/>
      <c r="G111" s="118">
        <f>$I$80/G105</f>
        <v>27.563760330578503</v>
      </c>
      <c r="H111" s="64"/>
      <c r="I111" s="64"/>
      <c r="J111" s="93"/>
    </row>
    <row r="112" spans="1:10" ht="5.25" customHeight="1">
      <c r="A112" s="64"/>
      <c r="B112" s="64"/>
      <c r="C112" s="64"/>
      <c r="D112" s="64"/>
      <c r="E112" s="65"/>
      <c r="F112" s="64"/>
      <c r="G112" s="64"/>
      <c r="H112" s="64"/>
      <c r="I112" s="64"/>
      <c r="J112" s="93"/>
    </row>
    <row r="113" spans="1:10" ht="12">
      <c r="A113" s="59"/>
      <c r="B113" s="59"/>
      <c r="C113" s="59"/>
      <c r="D113" s="59"/>
      <c r="E113" s="60"/>
      <c r="F113" s="59"/>
      <c r="G113" s="59"/>
      <c r="H113" s="59"/>
      <c r="I113" s="59"/>
      <c r="J113" s="93"/>
    </row>
    <row r="114" spans="1:10" ht="12">
      <c r="A114" s="64"/>
      <c r="B114" s="64"/>
      <c r="C114" s="64"/>
      <c r="D114" s="64"/>
      <c r="E114" s="65"/>
      <c r="F114" s="64"/>
      <c r="G114" s="64"/>
      <c r="H114" s="64"/>
      <c r="I114" s="64"/>
      <c r="J114" s="93"/>
    </row>
    <row r="115" spans="1:10" ht="12">
      <c r="A115" s="119" t="s">
        <v>62</v>
      </c>
      <c r="B115" s="64"/>
      <c r="C115" s="237"/>
      <c r="D115" s="237"/>
      <c r="E115" s="237"/>
      <c r="F115" s="64"/>
      <c r="G115" s="64"/>
      <c r="H115" s="64"/>
      <c r="I115" s="64"/>
      <c r="J115" s="93"/>
    </row>
    <row r="116" spans="1:10" ht="12">
      <c r="A116" s="119" t="s">
        <v>60</v>
      </c>
      <c r="B116" s="64"/>
      <c r="C116" s="237"/>
      <c r="D116" s="237"/>
      <c r="E116" s="237"/>
      <c r="F116" s="237"/>
      <c r="G116" s="237"/>
      <c r="H116" s="64"/>
      <c r="I116" s="64"/>
      <c r="J116" s="93"/>
    </row>
    <row r="117" spans="1:10" ht="12">
      <c r="A117" s="119" t="s">
        <v>61</v>
      </c>
      <c r="B117" s="64"/>
      <c r="C117" s="237"/>
      <c r="D117" s="237"/>
      <c r="E117" s="237"/>
      <c r="F117" s="237"/>
      <c r="G117" s="237"/>
      <c r="H117" s="64"/>
      <c r="I117" s="64"/>
      <c r="J117" s="93"/>
    </row>
    <row r="118" spans="1:10" ht="12">
      <c r="A118" s="64"/>
      <c r="B118" s="64"/>
      <c r="C118" s="237"/>
      <c r="D118" s="237"/>
      <c r="E118" s="237"/>
      <c r="F118" s="237"/>
      <c r="G118" s="237"/>
      <c r="H118" s="64"/>
      <c r="I118" s="64"/>
      <c r="J118" s="93"/>
    </row>
    <row r="119" spans="1:10" ht="12">
      <c r="A119" s="64"/>
      <c r="B119" s="64"/>
      <c r="C119" s="237"/>
      <c r="D119" s="237"/>
      <c r="E119" s="237"/>
      <c r="F119" s="237"/>
      <c r="G119" s="237"/>
      <c r="H119" s="64"/>
      <c r="I119" s="64"/>
      <c r="J119" s="93"/>
    </row>
    <row r="120" spans="1:10" ht="12">
      <c r="A120" s="64"/>
      <c r="B120" s="64"/>
      <c r="C120" s="64"/>
      <c r="D120" s="64"/>
      <c r="E120" s="65"/>
      <c r="F120" s="64"/>
      <c r="G120" s="64"/>
      <c r="H120" s="64"/>
      <c r="I120" s="64"/>
      <c r="J120" s="93"/>
    </row>
  </sheetData>
  <sheetProtection/>
  <mergeCells count="24">
    <mergeCell ref="A73:C73"/>
    <mergeCell ref="D73:H73"/>
    <mergeCell ref="A74:C74"/>
    <mergeCell ref="D74:H74"/>
    <mergeCell ref="C118:G118"/>
    <mergeCell ref="C119:G119"/>
    <mergeCell ref="A75:C75"/>
    <mergeCell ref="D75:H75"/>
    <mergeCell ref="A86:I90"/>
    <mergeCell ref="C115:E115"/>
    <mergeCell ref="C116:G116"/>
    <mergeCell ref="C117:G117"/>
    <mergeCell ref="A70:C70"/>
    <mergeCell ref="D70:H70"/>
    <mergeCell ref="A71:C71"/>
    <mergeCell ref="D71:H71"/>
    <mergeCell ref="A72:C72"/>
    <mergeCell ref="D72:H72"/>
    <mergeCell ref="A1:J1"/>
    <mergeCell ref="L7:P7"/>
    <mergeCell ref="L8:Q8"/>
    <mergeCell ref="C61:G61"/>
    <mergeCell ref="A69:C69"/>
    <mergeCell ref="D69:H69"/>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67" max="255" man="1"/>
  </rowBreaks>
</worksheet>
</file>

<file path=xl/worksheets/sheet8.xml><?xml version="1.0" encoding="utf-8"?>
<worksheet xmlns="http://schemas.openxmlformats.org/spreadsheetml/2006/main" xmlns:r="http://schemas.openxmlformats.org/officeDocument/2006/relationships">
  <dimension ref="A1:Q120"/>
  <sheetViews>
    <sheetView zoomScalePageLayoutView="0" workbookViewId="0" topLeftCell="A1">
      <selection activeCell="L1" sqref="L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57421875" style="36" customWidth="1"/>
    <col min="13" max="16384" width="9.140625" style="36" customWidth="1"/>
  </cols>
  <sheetData>
    <row r="1" spans="1:12" ht="33.75" customHeight="1">
      <c r="A1" s="230" t="s">
        <v>391</v>
      </c>
      <c r="B1" s="230"/>
      <c r="C1" s="230"/>
      <c r="D1" s="230"/>
      <c r="E1" s="230"/>
      <c r="F1" s="230"/>
      <c r="G1" s="230"/>
      <c r="H1" s="230"/>
      <c r="I1" s="230"/>
      <c r="J1" s="230"/>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123" t="s">
        <v>168</v>
      </c>
      <c r="B7" s="67"/>
      <c r="C7" s="66">
        <v>195</v>
      </c>
      <c r="D7" s="67"/>
      <c r="E7" s="122" t="s">
        <v>76</v>
      </c>
      <c r="F7" s="67"/>
      <c r="G7" s="69">
        <v>5.5</v>
      </c>
      <c r="H7" s="67"/>
      <c r="I7" s="70">
        <f>C7*G7</f>
        <v>1072.5</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108</v>
      </c>
      <c r="J11" s="56"/>
    </row>
    <row r="12" spans="1:11" ht="12">
      <c r="A12" s="83" t="s">
        <v>142</v>
      </c>
      <c r="B12" s="64"/>
      <c r="C12" s="79">
        <v>0.48</v>
      </c>
      <c r="D12" s="64"/>
      <c r="E12" s="80" t="s">
        <v>232</v>
      </c>
      <c r="F12" s="64"/>
      <c r="G12" s="91">
        <f>RRC</f>
        <v>225</v>
      </c>
      <c r="H12" s="64"/>
      <c r="I12" s="75">
        <f>C12*G12</f>
        <v>108</v>
      </c>
      <c r="J12" s="56"/>
      <c r="K12" s="121"/>
    </row>
    <row r="13" spans="1:10" ht="12">
      <c r="A13" s="170" t="s">
        <v>250</v>
      </c>
      <c r="B13" s="64"/>
      <c r="C13" s="79"/>
      <c r="D13" s="93"/>
      <c r="E13" s="124"/>
      <c r="F13" s="64"/>
      <c r="G13" s="82"/>
      <c r="H13" s="64"/>
      <c r="I13" s="75">
        <f>C13*G13</f>
        <v>0</v>
      </c>
      <c r="J13" s="56"/>
    </row>
    <row r="14" spans="1:10" ht="7.5" customHeight="1">
      <c r="A14" s="64"/>
      <c r="B14" s="64"/>
      <c r="C14" s="64"/>
      <c r="D14" s="64"/>
      <c r="E14" s="125"/>
      <c r="F14" s="64"/>
      <c r="G14" s="74"/>
      <c r="H14" s="64"/>
      <c r="I14" s="75"/>
      <c r="J14" s="56"/>
    </row>
    <row r="15" spans="1:10" ht="12.75">
      <c r="A15" s="76" t="s">
        <v>12</v>
      </c>
      <c r="B15" s="64"/>
      <c r="C15" s="64"/>
      <c r="D15" s="64"/>
      <c r="E15" s="180"/>
      <c r="F15" s="64"/>
      <c r="G15" s="74"/>
      <c r="H15" s="64"/>
      <c r="I15" s="77">
        <f>SUM(I16:I20)</f>
        <v>238.5</v>
      </c>
      <c r="J15" s="56"/>
    </row>
    <row r="16" spans="1:10" ht="12">
      <c r="A16" s="79" t="s">
        <v>74</v>
      </c>
      <c r="B16" s="64"/>
      <c r="C16" s="79">
        <v>210</v>
      </c>
      <c r="D16" s="64"/>
      <c r="E16" s="80" t="s">
        <v>38</v>
      </c>
      <c r="F16" s="64"/>
      <c r="G16" s="91">
        <f>DN</f>
        <v>0.66</v>
      </c>
      <c r="H16" s="64"/>
      <c r="I16" s="75">
        <f>C16*G16</f>
        <v>138.6</v>
      </c>
      <c r="J16" s="56"/>
    </row>
    <row r="17" spans="1:10" ht="12">
      <c r="A17" s="79" t="s">
        <v>72</v>
      </c>
      <c r="B17" s="64"/>
      <c r="C17" s="79">
        <v>80</v>
      </c>
      <c r="D17" s="64"/>
      <c r="E17" s="80" t="s">
        <v>38</v>
      </c>
      <c r="F17" s="64"/>
      <c r="G17" s="91">
        <f>Dry</f>
        <v>0.53</v>
      </c>
      <c r="H17" s="64"/>
      <c r="I17" s="75">
        <f>C17*G17</f>
        <v>42.400000000000006</v>
      </c>
      <c r="J17" s="56"/>
    </row>
    <row r="18" spans="1:10" ht="12">
      <c r="A18" s="78" t="s">
        <v>13</v>
      </c>
      <c r="B18" s="64"/>
      <c r="C18" s="79">
        <v>100</v>
      </c>
      <c r="D18" s="64"/>
      <c r="E18" s="89" t="s">
        <v>38</v>
      </c>
      <c r="F18" s="64"/>
      <c r="G18" s="91">
        <f>K</f>
        <v>0.5</v>
      </c>
      <c r="H18" s="64"/>
      <c r="I18" s="85">
        <f>C18*G18</f>
        <v>50</v>
      </c>
      <c r="J18" s="56"/>
    </row>
    <row r="19" spans="1:10" ht="12">
      <c r="A19" s="78" t="s">
        <v>14</v>
      </c>
      <c r="B19" s="64"/>
      <c r="C19" s="79">
        <v>30</v>
      </c>
      <c r="D19" s="64"/>
      <c r="E19" s="89" t="s">
        <v>38</v>
      </c>
      <c r="F19" s="64"/>
      <c r="G19" s="91">
        <f>SulfurD</f>
        <v>0.25</v>
      </c>
      <c r="H19" s="64"/>
      <c r="I19" s="85">
        <f>C19*G19</f>
        <v>7.5</v>
      </c>
      <c r="J19" s="56"/>
    </row>
    <row r="20" spans="2:10" ht="12">
      <c r="B20" s="64"/>
      <c r="C20" s="79"/>
      <c r="D20" s="64"/>
      <c r="E20" s="80"/>
      <c r="F20" s="64"/>
      <c r="G20" s="82"/>
      <c r="H20" s="64"/>
      <c r="I20" s="85">
        <f>C20*G20</f>
        <v>0</v>
      </c>
      <c r="J20" s="56"/>
    </row>
    <row r="21" spans="1:10" ht="12">
      <c r="A21" s="64"/>
      <c r="B21" s="64"/>
      <c r="C21" s="64"/>
      <c r="D21" s="64"/>
      <c r="E21" s="65"/>
      <c r="F21" s="64"/>
      <c r="G21" s="74"/>
      <c r="H21" s="64"/>
      <c r="I21" s="85"/>
      <c r="J21" s="56"/>
    </row>
    <row r="22" spans="1:10" ht="12.75">
      <c r="A22" s="76" t="s">
        <v>17</v>
      </c>
      <c r="B22" s="64"/>
      <c r="C22" s="64"/>
      <c r="D22" s="64"/>
      <c r="E22" s="65"/>
      <c r="F22" s="64"/>
      <c r="G22" s="74"/>
      <c r="H22" s="64"/>
      <c r="I22" s="86">
        <f>SUM(I23:I27)</f>
        <v>50.28</v>
      </c>
      <c r="J22" s="56"/>
    </row>
    <row r="23" spans="1:10" ht="12">
      <c r="A23" s="78" t="s">
        <v>249</v>
      </c>
      <c r="B23" s="64"/>
      <c r="C23" s="87">
        <v>2</v>
      </c>
      <c r="D23" s="64"/>
      <c r="E23" s="89" t="s">
        <v>133</v>
      </c>
      <c r="F23" s="64"/>
      <c r="G23" s="91">
        <f>MicroTech</f>
        <v>8.75</v>
      </c>
      <c r="H23" s="64"/>
      <c r="I23" s="85">
        <f>C23*G23</f>
        <v>17.5</v>
      </c>
      <c r="J23" s="56"/>
    </row>
    <row r="24" spans="1:10" ht="12">
      <c r="A24" s="78" t="s">
        <v>140</v>
      </c>
      <c r="B24" s="64"/>
      <c r="C24" s="87">
        <v>8</v>
      </c>
      <c r="D24" s="64"/>
      <c r="E24" s="89" t="s">
        <v>38</v>
      </c>
      <c r="F24" s="64"/>
      <c r="G24" s="91">
        <f>Counter</f>
        <v>3</v>
      </c>
      <c r="H24" s="64"/>
      <c r="I24" s="85">
        <f>C24*G24</f>
        <v>24</v>
      </c>
      <c r="J24" s="56"/>
    </row>
    <row r="25" spans="1:10" ht="12">
      <c r="A25" s="83" t="s">
        <v>392</v>
      </c>
      <c r="B25" s="64"/>
      <c r="C25" s="79">
        <v>40</v>
      </c>
      <c r="D25" s="64"/>
      <c r="E25" s="89" t="s">
        <v>46</v>
      </c>
      <c r="F25" s="64"/>
      <c r="G25" s="91">
        <f>Rpowermax</f>
        <v>0.2</v>
      </c>
      <c r="H25" s="64"/>
      <c r="I25" s="85">
        <f>C25*G25</f>
        <v>8</v>
      </c>
      <c r="J25" s="56"/>
    </row>
    <row r="26" spans="1:10" ht="12">
      <c r="A26" s="78" t="s">
        <v>248</v>
      </c>
      <c r="B26" s="64"/>
      <c r="C26" s="87">
        <v>2</v>
      </c>
      <c r="D26" s="64"/>
      <c r="E26" s="89" t="s">
        <v>38</v>
      </c>
      <c r="F26" s="64"/>
      <c r="G26" s="91">
        <f>AMS</f>
        <v>0.39</v>
      </c>
      <c r="H26" s="64"/>
      <c r="I26" s="85">
        <f>C26*G26</f>
        <v>0.78</v>
      </c>
      <c r="J26" s="56"/>
    </row>
    <row r="27" spans="1:10" ht="12">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105.6</v>
      </c>
      <c r="J29" s="56"/>
    </row>
    <row r="30" spans="1:10" ht="12">
      <c r="A30" s="79" t="s">
        <v>18</v>
      </c>
      <c r="B30" s="64"/>
      <c r="C30" s="79">
        <v>2</v>
      </c>
      <c r="D30" s="64"/>
      <c r="E30" s="80" t="s">
        <v>39</v>
      </c>
      <c r="F30" s="64"/>
      <c r="G30" s="91">
        <f>CF</f>
        <v>7.75</v>
      </c>
      <c r="H30" s="64"/>
      <c r="I30" s="85">
        <f>C30*G30</f>
        <v>15.5</v>
      </c>
      <c r="J30" s="56"/>
    </row>
    <row r="31" spans="1:10" ht="12">
      <c r="A31" s="88" t="s">
        <v>47</v>
      </c>
      <c r="B31" s="64"/>
      <c r="C31" s="79">
        <v>1</v>
      </c>
      <c r="D31" s="64"/>
      <c r="E31" s="80" t="s">
        <v>39</v>
      </c>
      <c r="F31" s="64"/>
      <c r="G31" s="81">
        <f>CCC</f>
        <v>55</v>
      </c>
      <c r="H31" s="64"/>
      <c r="I31" s="85">
        <f>C31*G31</f>
        <v>55</v>
      </c>
      <c r="J31" s="56"/>
    </row>
    <row r="32" spans="1:10" ht="12">
      <c r="A32" s="88" t="s">
        <v>81</v>
      </c>
      <c r="B32" s="64"/>
      <c r="C32" s="79">
        <v>195</v>
      </c>
      <c r="D32" s="64"/>
      <c r="E32" s="80" t="s">
        <v>76</v>
      </c>
      <c r="F32" s="64"/>
      <c r="G32" s="81">
        <f>CHbu</f>
        <v>0.18</v>
      </c>
      <c r="H32" s="64"/>
      <c r="I32" s="85">
        <f>C32*G32</f>
        <v>35.1</v>
      </c>
      <c r="J32" s="56"/>
    </row>
    <row r="33" spans="1:10" ht="12">
      <c r="A33" s="79"/>
      <c r="B33" s="64"/>
      <c r="C33" s="79"/>
      <c r="D33" s="64"/>
      <c r="E33" s="80"/>
      <c r="F33" s="64"/>
      <c r="G33" s="84"/>
      <c r="H33" s="64"/>
      <c r="I33" s="85">
        <f>C33*G33</f>
        <v>0</v>
      </c>
      <c r="J33" s="56"/>
    </row>
    <row r="34" spans="1:10" ht="12">
      <c r="A34" s="79"/>
      <c r="B34" s="64"/>
      <c r="C34" s="79"/>
      <c r="D34" s="64"/>
      <c r="E34" s="80"/>
      <c r="F34" s="64"/>
      <c r="G34" s="84"/>
      <c r="H34" s="64"/>
      <c r="I34" s="85">
        <f>C34*G34</f>
        <v>0</v>
      </c>
      <c r="J34" s="56"/>
    </row>
    <row r="35" spans="1:10" ht="12">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
      <c r="A37" s="79" t="s">
        <v>21</v>
      </c>
      <c r="B37" s="64"/>
      <c r="C37" s="79">
        <v>1</v>
      </c>
      <c r="D37" s="64"/>
      <c r="E37" s="80" t="s">
        <v>39</v>
      </c>
      <c r="F37" s="64"/>
      <c r="G37" s="91">
        <f>WaterA</f>
        <v>48.85</v>
      </c>
      <c r="H37" s="64"/>
      <c r="I37" s="85">
        <f>C37*G37</f>
        <v>48.85</v>
      </c>
      <c r="J37" s="56"/>
    </row>
    <row r="38" spans="1:10" ht="12">
      <c r="A38" s="79" t="s">
        <v>89</v>
      </c>
      <c r="B38" s="64"/>
      <c r="C38" s="79">
        <v>1</v>
      </c>
      <c r="D38" s="64"/>
      <c r="E38" s="80" t="s">
        <v>39</v>
      </c>
      <c r="F38" s="64"/>
      <c r="G38" s="91">
        <f>IrrigationR</f>
        <v>2.75</v>
      </c>
      <c r="H38" s="64"/>
      <c r="I38" s="85">
        <f>C38*G38</f>
        <v>2.75</v>
      </c>
      <c r="J38" s="56"/>
    </row>
    <row r="39" spans="1:10" ht="12">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57.61300000000001</v>
      </c>
      <c r="J41" s="56"/>
    </row>
    <row r="42" spans="1:10" ht="12">
      <c r="A42" s="78" t="s">
        <v>150</v>
      </c>
      <c r="B42" s="64"/>
      <c r="C42" s="88">
        <v>1.27</v>
      </c>
      <c r="D42" s="64"/>
      <c r="E42" s="89" t="s">
        <v>91</v>
      </c>
      <c r="F42" s="64"/>
      <c r="G42" s="91">
        <f>FuelGas</f>
        <v>3.7</v>
      </c>
      <c r="H42" s="64"/>
      <c r="I42" s="85">
        <f>C42*G42</f>
        <v>4.699000000000001</v>
      </c>
      <c r="J42" s="56"/>
    </row>
    <row r="43" spans="1:10" ht="12">
      <c r="A43" s="78" t="s">
        <v>151</v>
      </c>
      <c r="B43" s="64"/>
      <c r="C43" s="128">
        <v>9.41</v>
      </c>
      <c r="D43" s="64"/>
      <c r="E43" s="89" t="s">
        <v>91</v>
      </c>
      <c r="F43" s="64"/>
      <c r="G43" s="91">
        <f>FuelD</f>
        <v>3.6</v>
      </c>
      <c r="H43" s="64"/>
      <c r="I43" s="85">
        <f>C43*G43</f>
        <v>33.876000000000005</v>
      </c>
      <c r="J43" s="56"/>
    </row>
    <row r="44" spans="1:10" ht="12">
      <c r="A44" s="78" t="s">
        <v>284</v>
      </c>
      <c r="B44" s="64"/>
      <c r="C44" s="128">
        <v>0.08</v>
      </c>
      <c r="D44" s="64"/>
      <c r="E44" s="89" t="s">
        <v>91</v>
      </c>
      <c r="F44" s="64"/>
      <c r="G44" s="91">
        <f>FuelRD</f>
        <v>4.1</v>
      </c>
      <c r="H44" s="64"/>
      <c r="I44" s="85">
        <f>C44*G44</f>
        <v>0.32799999999999996</v>
      </c>
      <c r="J44" s="56"/>
    </row>
    <row r="45" spans="1:10" ht="12">
      <c r="A45" s="83" t="s">
        <v>152</v>
      </c>
      <c r="B45" s="64"/>
      <c r="C45" s="88">
        <v>1</v>
      </c>
      <c r="D45" s="64"/>
      <c r="E45" s="89" t="s">
        <v>39</v>
      </c>
      <c r="F45" s="64"/>
      <c r="G45" s="91">
        <v>5.83</v>
      </c>
      <c r="H45" s="64"/>
      <c r="I45" s="85">
        <f>C45*G45</f>
        <v>5.83</v>
      </c>
      <c r="J45" s="56"/>
    </row>
    <row r="46" spans="1:10" ht="12">
      <c r="A46" s="83" t="s">
        <v>26</v>
      </c>
      <c r="B46" s="64"/>
      <c r="C46" s="88">
        <v>1</v>
      </c>
      <c r="D46" s="64"/>
      <c r="E46" s="89" t="s">
        <v>39</v>
      </c>
      <c r="F46" s="64"/>
      <c r="G46" s="91">
        <v>12.88</v>
      </c>
      <c r="H46" s="64"/>
      <c r="I46" s="85">
        <f>C46*G46</f>
        <v>12.88</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95.729</v>
      </c>
      <c r="J48" s="56"/>
    </row>
    <row r="49" spans="1:10" ht="12">
      <c r="A49" s="78" t="s">
        <v>156</v>
      </c>
      <c r="B49" s="64"/>
      <c r="C49" s="88">
        <v>2.48</v>
      </c>
      <c r="D49" s="64"/>
      <c r="E49" s="89" t="s">
        <v>42</v>
      </c>
      <c r="F49" s="64"/>
      <c r="G49" s="91">
        <f>Labor</f>
        <v>17.8</v>
      </c>
      <c r="H49" s="64"/>
      <c r="I49" s="85">
        <f>C49*G49</f>
        <v>44.144</v>
      </c>
      <c r="J49" s="56"/>
    </row>
    <row r="50" spans="1:10" ht="12">
      <c r="A50" s="78" t="s">
        <v>158</v>
      </c>
      <c r="B50" s="64"/>
      <c r="C50" s="79">
        <v>3.85</v>
      </c>
      <c r="D50" s="64"/>
      <c r="E50" s="80" t="s">
        <v>42</v>
      </c>
      <c r="F50" s="64"/>
      <c r="G50" s="91">
        <f>IrriL</f>
        <v>12.6</v>
      </c>
      <c r="H50" s="64"/>
      <c r="I50" s="85">
        <f>C50*G50</f>
        <v>48.51</v>
      </c>
      <c r="J50" s="56"/>
    </row>
    <row r="51" spans="1:10" ht="12">
      <c r="A51" s="78" t="s">
        <v>153</v>
      </c>
      <c r="B51" s="64"/>
      <c r="C51" s="164">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
      <c r="A54" s="78"/>
      <c r="B54" s="64"/>
      <c r="C54" s="79"/>
      <c r="D54" s="64"/>
      <c r="E54" s="89"/>
      <c r="F54" s="64"/>
      <c r="G54" s="92"/>
      <c r="H54" s="64"/>
      <c r="I54" s="85">
        <f>C54*G54</f>
        <v>0</v>
      </c>
      <c r="J54" s="56"/>
    </row>
    <row r="55" spans="1:10" ht="12">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16.5</v>
      </c>
      <c r="J57" s="56"/>
    </row>
    <row r="58" spans="1:10" ht="12">
      <c r="A58" s="79" t="s">
        <v>24</v>
      </c>
      <c r="B58" s="64"/>
      <c r="C58" s="79">
        <v>1</v>
      </c>
      <c r="D58" s="64"/>
      <c r="E58" s="80" t="s">
        <v>39</v>
      </c>
      <c r="F58" s="64"/>
      <c r="G58" s="81">
        <v>16.5</v>
      </c>
      <c r="H58" s="64"/>
      <c r="I58" s="85">
        <f>C58*G58</f>
        <v>16.5</v>
      </c>
      <c r="J58" s="56"/>
    </row>
    <row r="59" spans="1:10" ht="12">
      <c r="A59" s="79"/>
      <c r="B59" s="64"/>
      <c r="C59" s="79"/>
      <c r="D59" s="64"/>
      <c r="E59" s="80"/>
      <c r="F59" s="64"/>
      <c r="G59" s="84"/>
      <c r="H59" s="64"/>
      <c r="I59" s="85">
        <f>C59*G59</f>
        <v>0</v>
      </c>
      <c r="J59" s="56"/>
    </row>
    <row r="60" spans="1:10" ht="4.5" customHeight="1">
      <c r="A60" s="95"/>
      <c r="B60" s="93"/>
      <c r="C60" s="95"/>
      <c r="D60" s="93"/>
      <c r="E60" s="96"/>
      <c r="F60" s="93"/>
      <c r="G60" s="97"/>
      <c r="H60" s="64"/>
      <c r="I60" s="101"/>
      <c r="J60" s="56"/>
    </row>
    <row r="61" spans="1:10" ht="12">
      <c r="A61" s="102" t="s">
        <v>388</v>
      </c>
      <c r="B61" s="64"/>
      <c r="C61" s="233"/>
      <c r="D61" s="231"/>
      <c r="E61" s="231"/>
      <c r="F61" s="231"/>
      <c r="G61" s="231"/>
      <c r="H61" s="64"/>
      <c r="I61" s="91">
        <v>26.98</v>
      </c>
      <c r="J61" s="56"/>
    </row>
    <row r="62" spans="1:10" ht="5.25" customHeight="1">
      <c r="A62" s="64"/>
      <c r="B62" s="64"/>
      <c r="C62" s="64"/>
      <c r="D62" s="64"/>
      <c r="E62" s="65"/>
      <c r="F62" s="64"/>
      <c r="G62" s="64"/>
      <c r="H62" s="64"/>
      <c r="I62" s="85"/>
      <c r="J62" s="56"/>
    </row>
    <row r="63" spans="1:10" ht="12">
      <c r="A63" s="64" t="s">
        <v>27</v>
      </c>
      <c r="B63" s="64"/>
      <c r="C63" s="64"/>
      <c r="D63" s="64"/>
      <c r="E63" s="65"/>
      <c r="F63" s="64"/>
      <c r="G63" s="64"/>
      <c r="H63" s="64"/>
      <c r="I63" s="85">
        <f>SUM(I57+I53+I48+I41+I36+I29+I22+I15+I11+I61)</f>
        <v>750.802</v>
      </c>
      <c r="J63" s="56"/>
    </row>
    <row r="64" spans="1:10" ht="12">
      <c r="A64" s="64" t="s">
        <v>28</v>
      </c>
      <c r="B64" s="64"/>
      <c r="C64" s="64"/>
      <c r="D64" s="64"/>
      <c r="E64" s="65"/>
      <c r="F64" s="64"/>
      <c r="G64" s="64"/>
      <c r="H64" s="64"/>
      <c r="I64" s="85">
        <f>I63/C7</f>
        <v>3.8502666666666667</v>
      </c>
      <c r="J64" s="56"/>
    </row>
    <row r="65" spans="1:10" ht="5.25" customHeight="1">
      <c r="A65" s="64"/>
      <c r="B65" s="64"/>
      <c r="C65" s="64"/>
      <c r="D65" s="64"/>
      <c r="E65" s="65"/>
      <c r="F65" s="64"/>
      <c r="G65" s="64"/>
      <c r="H65" s="64"/>
      <c r="I65" s="85"/>
      <c r="J65" s="56"/>
    </row>
    <row r="66" spans="1:10" ht="12">
      <c r="A66" s="59" t="s">
        <v>29</v>
      </c>
      <c r="B66" s="59"/>
      <c r="C66" s="59"/>
      <c r="D66" s="59"/>
      <c r="E66" s="60"/>
      <c r="F66" s="59"/>
      <c r="G66" s="59"/>
      <c r="H66" s="59"/>
      <c r="I66" s="103">
        <f>I7-I63</f>
        <v>321.698</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
      <c r="A69" s="234" t="s">
        <v>63</v>
      </c>
      <c r="B69" s="234"/>
      <c r="C69" s="234"/>
      <c r="D69" s="235"/>
      <c r="E69" s="235"/>
      <c r="F69" s="235"/>
      <c r="G69" s="235"/>
      <c r="H69" s="235"/>
      <c r="I69" s="91">
        <v>1.49</v>
      </c>
      <c r="J69" s="56"/>
    </row>
    <row r="70" spans="1:10" ht="12">
      <c r="A70" s="236" t="s">
        <v>352</v>
      </c>
      <c r="B70" s="236"/>
      <c r="C70" s="236"/>
      <c r="D70" s="235"/>
      <c r="E70" s="235"/>
      <c r="F70" s="235"/>
      <c r="G70" s="235"/>
      <c r="H70" s="235"/>
      <c r="I70" s="91">
        <v>51.39</v>
      </c>
      <c r="J70" s="56"/>
    </row>
    <row r="71" spans="1:10" ht="12">
      <c r="A71" s="237" t="s">
        <v>44</v>
      </c>
      <c r="B71" s="237"/>
      <c r="C71" s="237"/>
      <c r="D71" s="235"/>
      <c r="E71" s="235"/>
      <c r="F71" s="235"/>
      <c r="G71" s="235"/>
      <c r="H71" s="235"/>
      <c r="I71" s="91">
        <v>250</v>
      </c>
      <c r="J71" s="56"/>
    </row>
    <row r="72" spans="1:10" ht="12">
      <c r="A72" s="237" t="s">
        <v>31</v>
      </c>
      <c r="B72" s="237"/>
      <c r="C72" s="237"/>
      <c r="D72" s="235"/>
      <c r="E72" s="235"/>
      <c r="F72" s="235"/>
      <c r="G72" s="235"/>
      <c r="H72" s="235"/>
      <c r="I72" s="91">
        <v>37</v>
      </c>
      <c r="J72" s="56"/>
    </row>
    <row r="73" spans="1:10" ht="12">
      <c r="A73" s="237" t="s">
        <v>32</v>
      </c>
      <c r="B73" s="237"/>
      <c r="C73" s="237"/>
      <c r="D73" s="235"/>
      <c r="E73" s="235"/>
      <c r="F73" s="235"/>
      <c r="G73" s="235"/>
      <c r="H73" s="235"/>
      <c r="I73" s="91">
        <v>46</v>
      </c>
      <c r="J73" s="56"/>
    </row>
    <row r="74" spans="1:10" ht="12">
      <c r="A74" s="237"/>
      <c r="B74" s="237"/>
      <c r="C74" s="237"/>
      <c r="D74" s="235"/>
      <c r="E74" s="235"/>
      <c r="F74" s="235"/>
      <c r="G74" s="235"/>
      <c r="H74" s="235"/>
      <c r="I74" s="126"/>
      <c r="J74" s="56"/>
    </row>
    <row r="75" spans="1:10" ht="12">
      <c r="A75" s="237"/>
      <c r="B75" s="237"/>
      <c r="C75" s="237"/>
      <c r="D75" s="235"/>
      <c r="E75" s="235"/>
      <c r="F75" s="235"/>
      <c r="G75" s="235"/>
      <c r="H75" s="235"/>
      <c r="I75" s="91"/>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385.88</v>
      </c>
      <c r="J77" s="56"/>
    </row>
    <row r="78" spans="1:10" ht="12.75">
      <c r="A78" s="76" t="s">
        <v>34</v>
      </c>
      <c r="B78" s="64"/>
      <c r="C78" s="64"/>
      <c r="D78" s="64"/>
      <c r="E78" s="65"/>
      <c r="F78" s="64"/>
      <c r="G78" s="64"/>
      <c r="H78" s="64"/>
      <c r="I78" s="85">
        <f>I77/C7</f>
        <v>1.9788717948717949</v>
      </c>
      <c r="J78" s="56"/>
    </row>
    <row r="79" spans="1:10" ht="12">
      <c r="A79" s="64"/>
      <c r="B79" s="64"/>
      <c r="C79" s="64"/>
      <c r="D79" s="64"/>
      <c r="E79" s="65"/>
      <c r="F79" s="64"/>
      <c r="G79" s="64"/>
      <c r="H79" s="64"/>
      <c r="I79" s="85"/>
      <c r="J79" s="56"/>
    </row>
    <row r="80" spans="1:10" ht="12.75">
      <c r="A80" s="76" t="s">
        <v>35</v>
      </c>
      <c r="B80" s="64"/>
      <c r="C80" s="64"/>
      <c r="D80" s="64"/>
      <c r="E80" s="65"/>
      <c r="F80" s="64"/>
      <c r="G80" s="64"/>
      <c r="H80" s="64"/>
      <c r="I80" s="85">
        <f>I63+I77</f>
        <v>1136.682</v>
      </c>
      <c r="J80" s="56"/>
    </row>
    <row r="81" spans="1:10" ht="12.75">
      <c r="A81" s="76" t="s">
        <v>36</v>
      </c>
      <c r="B81" s="64"/>
      <c r="C81" s="64"/>
      <c r="D81" s="64"/>
      <c r="E81" s="65"/>
      <c r="F81" s="64"/>
      <c r="G81" s="64"/>
      <c r="H81" s="64"/>
      <c r="I81" s="85">
        <f>I80/C7</f>
        <v>5.829138461538462</v>
      </c>
      <c r="J81" s="56"/>
    </row>
    <row r="82" spans="1:10" ht="12">
      <c r="A82" s="64"/>
      <c r="B82" s="64"/>
      <c r="C82" s="64"/>
      <c r="D82" s="64"/>
      <c r="E82" s="65"/>
      <c r="F82" s="64"/>
      <c r="G82" s="64"/>
      <c r="H82" s="64"/>
      <c r="I82" s="85"/>
      <c r="J82" s="56"/>
    </row>
    <row r="83" spans="1:10" ht="12">
      <c r="A83" s="64" t="s">
        <v>37</v>
      </c>
      <c r="B83" s="64"/>
      <c r="C83" s="64"/>
      <c r="D83" s="64"/>
      <c r="E83" s="65"/>
      <c r="F83" s="64"/>
      <c r="G83" s="64"/>
      <c r="H83" s="64"/>
      <c r="I83" s="85">
        <f>I7-I80</f>
        <v>-64.18200000000002</v>
      </c>
      <c r="J83" s="56"/>
    </row>
    <row r="84" spans="1:10" ht="12">
      <c r="A84" s="59"/>
      <c r="B84" s="59"/>
      <c r="C84" s="59"/>
      <c r="D84" s="59"/>
      <c r="E84" s="60"/>
      <c r="F84" s="59"/>
      <c r="G84" s="59"/>
      <c r="H84" s="59"/>
      <c r="I84" s="61"/>
      <c r="J84" s="62"/>
    </row>
    <row r="85" spans="1:10" ht="12">
      <c r="A85" s="67" t="s">
        <v>87</v>
      </c>
      <c r="B85" s="67"/>
      <c r="C85" s="67"/>
      <c r="D85" s="67"/>
      <c r="E85" s="72"/>
      <c r="F85" s="67"/>
      <c r="G85" s="67"/>
      <c r="H85" s="67"/>
      <c r="I85" s="67"/>
      <c r="J85" s="105"/>
    </row>
    <row r="86" spans="1:10" ht="12">
      <c r="A86" s="238" t="s">
        <v>45</v>
      </c>
      <c r="B86" s="238"/>
      <c r="C86" s="238"/>
      <c r="D86" s="238"/>
      <c r="E86" s="238"/>
      <c r="F86" s="238"/>
      <c r="G86" s="238"/>
      <c r="H86" s="238"/>
      <c r="I86" s="238"/>
      <c r="J86" s="93"/>
    </row>
    <row r="87" spans="1:10" ht="12">
      <c r="A87" s="238"/>
      <c r="B87" s="238"/>
      <c r="C87" s="238"/>
      <c r="D87" s="238"/>
      <c r="E87" s="238"/>
      <c r="F87" s="238"/>
      <c r="G87" s="238"/>
      <c r="H87" s="238"/>
      <c r="I87" s="238"/>
      <c r="J87" s="93"/>
    </row>
    <row r="88" spans="1:10" ht="12">
      <c r="A88" s="238"/>
      <c r="B88" s="238"/>
      <c r="C88" s="238"/>
      <c r="D88" s="238"/>
      <c r="E88" s="238"/>
      <c r="F88" s="238"/>
      <c r="G88" s="238"/>
      <c r="H88" s="238"/>
      <c r="I88" s="238"/>
      <c r="J88" s="93"/>
    </row>
    <row r="89" spans="1:10" ht="12">
      <c r="A89" s="238"/>
      <c r="B89" s="238"/>
      <c r="C89" s="238"/>
      <c r="D89" s="238"/>
      <c r="E89" s="238"/>
      <c r="F89" s="238"/>
      <c r="G89" s="238"/>
      <c r="H89" s="238"/>
      <c r="I89" s="238"/>
      <c r="J89" s="93"/>
    </row>
    <row r="90" spans="1:10" ht="12">
      <c r="A90" s="238"/>
      <c r="B90" s="238"/>
      <c r="C90" s="238"/>
      <c r="D90" s="238"/>
      <c r="E90" s="238"/>
      <c r="F90" s="238"/>
      <c r="G90" s="238"/>
      <c r="H90" s="238"/>
      <c r="I90" s="238"/>
      <c r="J90" s="93"/>
    </row>
    <row r="91" spans="1:10" ht="12">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
      <c r="A93" s="64"/>
      <c r="B93" s="64"/>
      <c r="C93" s="108">
        <v>0.1</v>
      </c>
      <c r="D93" s="64"/>
      <c r="E93" s="65"/>
      <c r="F93" s="64"/>
      <c r="G93" s="108">
        <v>0.1</v>
      </c>
      <c r="H93" s="64"/>
      <c r="I93" s="64"/>
      <c r="J93" s="93"/>
    </row>
    <row r="94" spans="1:10" ht="12">
      <c r="A94" s="64"/>
      <c r="B94" s="64"/>
      <c r="C94" s="109"/>
      <c r="D94" s="59"/>
      <c r="E94" s="58" t="s">
        <v>53</v>
      </c>
      <c r="F94" s="59"/>
      <c r="G94" s="109"/>
      <c r="H94" s="64"/>
      <c r="I94" s="64"/>
      <c r="J94" s="93"/>
    </row>
    <row r="95" spans="1:10" ht="12">
      <c r="A95" s="110" t="s">
        <v>49</v>
      </c>
      <c r="B95" s="64"/>
      <c r="C95" s="111">
        <f>E95*(1-C93)</f>
        <v>175.5</v>
      </c>
      <c r="D95" s="112"/>
      <c r="E95" s="113">
        <f>C7</f>
        <v>195</v>
      </c>
      <c r="F95" s="112"/>
      <c r="G95" s="114">
        <f>E95*(1+G93)</f>
        <v>214.50000000000003</v>
      </c>
      <c r="H95" s="64"/>
      <c r="I95" s="64"/>
      <c r="J95" s="93"/>
    </row>
    <row r="96" spans="1:10" ht="4.5" customHeight="1">
      <c r="A96" s="64"/>
      <c r="B96" s="64"/>
      <c r="C96" s="64"/>
      <c r="D96" s="64"/>
      <c r="E96" s="65"/>
      <c r="F96" s="64"/>
      <c r="G96" s="64"/>
      <c r="H96" s="64"/>
      <c r="I96" s="64"/>
      <c r="J96" s="93"/>
    </row>
    <row r="97" spans="1:10" ht="12">
      <c r="A97" s="64" t="s">
        <v>57</v>
      </c>
      <c r="B97" s="64"/>
      <c r="C97" s="115">
        <f>$I$63/C95</f>
        <v>4.278074074074074</v>
      </c>
      <c r="D97" s="64"/>
      <c r="E97" s="115">
        <f>$I$63/E95</f>
        <v>3.8502666666666667</v>
      </c>
      <c r="F97" s="64"/>
      <c r="G97" s="115">
        <f>$I$63/G95</f>
        <v>3.500242424242424</v>
      </c>
      <c r="H97" s="64"/>
      <c r="I97" s="64"/>
      <c r="J97" s="93"/>
    </row>
    <row r="98" spans="1:10" ht="4.5" customHeight="1">
      <c r="A98" s="64"/>
      <c r="B98" s="64"/>
      <c r="C98" s="64"/>
      <c r="D98" s="64"/>
      <c r="E98" s="65"/>
      <c r="F98" s="64"/>
      <c r="G98" s="64"/>
      <c r="H98" s="64"/>
      <c r="I98" s="64"/>
      <c r="J98" s="93"/>
    </row>
    <row r="99" spans="1:10" ht="12">
      <c r="A99" s="64" t="s">
        <v>58</v>
      </c>
      <c r="B99" s="64"/>
      <c r="C99" s="115">
        <f>$I$77/C95</f>
        <v>2.1987464387464386</v>
      </c>
      <c r="D99" s="64"/>
      <c r="E99" s="115">
        <f>$I$77/E95</f>
        <v>1.9788717948717949</v>
      </c>
      <c r="F99" s="64"/>
      <c r="G99" s="115">
        <f>$I$77/G95</f>
        <v>1.7989743589743588</v>
      </c>
      <c r="H99" s="64"/>
      <c r="I99" s="64"/>
      <c r="J99" s="93"/>
    </row>
    <row r="100" spans="1:10" ht="3.75" customHeight="1">
      <c r="A100" s="64"/>
      <c r="B100" s="64"/>
      <c r="C100" s="64"/>
      <c r="D100" s="64"/>
      <c r="E100" s="65"/>
      <c r="F100" s="64"/>
      <c r="G100" s="64"/>
      <c r="H100" s="64"/>
      <c r="I100" s="64"/>
      <c r="J100" s="93"/>
    </row>
    <row r="101" spans="1:10" ht="12">
      <c r="A101" s="64" t="s">
        <v>59</v>
      </c>
      <c r="B101" s="64"/>
      <c r="C101" s="115">
        <f>$I$80/C95</f>
        <v>6.476820512820513</v>
      </c>
      <c r="D101" s="64"/>
      <c r="E101" s="115">
        <f>$I$80/E95</f>
        <v>5.829138461538462</v>
      </c>
      <c r="F101" s="64"/>
      <c r="G101" s="115">
        <f>$I$80/G95</f>
        <v>5.2992167832167825</v>
      </c>
      <c r="H101" s="64"/>
      <c r="I101" s="64"/>
      <c r="J101" s="93"/>
    </row>
    <row r="102" spans="1:10" ht="5.25" customHeight="1">
      <c r="A102" s="67"/>
      <c r="B102" s="67"/>
      <c r="C102" s="67"/>
      <c r="D102" s="67"/>
      <c r="E102" s="72"/>
      <c r="F102" s="67"/>
      <c r="G102" s="67"/>
      <c r="H102" s="67"/>
      <c r="I102" s="67"/>
      <c r="J102" s="93"/>
    </row>
    <row r="103" spans="1:10" ht="12">
      <c r="A103" s="64"/>
      <c r="B103" s="64"/>
      <c r="C103" s="64"/>
      <c r="D103" s="64"/>
      <c r="E103" s="65"/>
      <c r="F103" s="64"/>
      <c r="G103" s="64"/>
      <c r="H103" s="64"/>
      <c r="I103" s="64"/>
      <c r="J103" s="93"/>
    </row>
    <row r="104" spans="1:10" ht="12">
      <c r="A104" s="64"/>
      <c r="B104" s="64"/>
      <c r="C104" s="59"/>
      <c r="D104" s="59"/>
      <c r="E104" s="60" t="s">
        <v>49</v>
      </c>
      <c r="F104" s="59"/>
      <c r="G104" s="59"/>
      <c r="H104" s="64"/>
      <c r="I104" s="64"/>
      <c r="J104" s="93"/>
    </row>
    <row r="105" spans="1:10" ht="12">
      <c r="A105" s="110" t="s">
        <v>53</v>
      </c>
      <c r="B105" s="64"/>
      <c r="C105" s="116">
        <f>E105*(1-C93)</f>
        <v>4.95</v>
      </c>
      <c r="D105" s="112"/>
      <c r="E105" s="117">
        <f>G7</f>
        <v>5.5</v>
      </c>
      <c r="F105" s="112"/>
      <c r="G105" s="116">
        <f>E105*(1+G93)</f>
        <v>6.050000000000001</v>
      </c>
      <c r="H105" s="64"/>
      <c r="I105" s="64"/>
      <c r="J105" s="93"/>
    </row>
    <row r="106" spans="1:10" ht="4.5" customHeight="1">
      <c r="A106" s="64"/>
      <c r="B106" s="64"/>
      <c r="C106" s="64"/>
      <c r="D106" s="64"/>
      <c r="E106" s="65"/>
      <c r="F106" s="64"/>
      <c r="G106" s="64"/>
      <c r="H106" s="64"/>
      <c r="I106" s="64"/>
      <c r="J106" s="93"/>
    </row>
    <row r="107" spans="1:10" ht="12">
      <c r="A107" s="64" t="s">
        <v>57</v>
      </c>
      <c r="B107" s="64"/>
      <c r="C107" s="118">
        <f>$I$63/C105</f>
        <v>151.67717171717172</v>
      </c>
      <c r="D107" s="64"/>
      <c r="E107" s="118">
        <f>$I$63/E105</f>
        <v>136.50945454545456</v>
      </c>
      <c r="F107" s="64"/>
      <c r="G107" s="118">
        <f>$I$63/G105</f>
        <v>124.09950413223139</v>
      </c>
      <c r="H107" s="64"/>
      <c r="I107" s="64"/>
      <c r="J107" s="93"/>
    </row>
    <row r="108" spans="1:10" ht="3" customHeight="1">
      <c r="A108" s="64"/>
      <c r="B108" s="64"/>
      <c r="C108" s="64"/>
      <c r="D108" s="64"/>
      <c r="E108" s="65"/>
      <c r="F108" s="64"/>
      <c r="G108" s="64"/>
      <c r="H108" s="64"/>
      <c r="I108" s="64"/>
      <c r="J108" s="93"/>
    </row>
    <row r="109" spans="1:10" ht="12">
      <c r="A109" s="64" t="s">
        <v>58</v>
      </c>
      <c r="B109" s="64"/>
      <c r="C109" s="118">
        <f>$I$77/C105</f>
        <v>77.95555555555555</v>
      </c>
      <c r="D109" s="64"/>
      <c r="E109" s="118">
        <f>$I$77/E105</f>
        <v>70.16</v>
      </c>
      <c r="F109" s="64"/>
      <c r="G109" s="118">
        <f>$I$77/G105</f>
        <v>63.781818181818174</v>
      </c>
      <c r="H109" s="64"/>
      <c r="I109" s="64"/>
      <c r="J109" s="93"/>
    </row>
    <row r="110" spans="1:10" ht="3.75" customHeight="1">
      <c r="A110" s="64"/>
      <c r="B110" s="64"/>
      <c r="C110" s="64"/>
      <c r="D110" s="64"/>
      <c r="E110" s="65"/>
      <c r="F110" s="64"/>
      <c r="G110" s="64"/>
      <c r="H110" s="64"/>
      <c r="I110" s="64"/>
      <c r="J110" s="93"/>
    </row>
    <row r="111" spans="1:10" ht="12">
      <c r="A111" s="64" t="s">
        <v>59</v>
      </c>
      <c r="B111" s="64"/>
      <c r="C111" s="118">
        <f>$I$80/C105</f>
        <v>229.63272727272727</v>
      </c>
      <c r="D111" s="64"/>
      <c r="E111" s="118">
        <f>$I$80/E105</f>
        <v>206.66945454545456</v>
      </c>
      <c r="F111" s="64"/>
      <c r="G111" s="118">
        <f>$I$80/G105</f>
        <v>187.88132231404956</v>
      </c>
      <c r="H111" s="64"/>
      <c r="I111" s="64"/>
      <c r="J111" s="93"/>
    </row>
    <row r="112" spans="1:10" ht="5.25" customHeight="1">
      <c r="A112" s="64"/>
      <c r="B112" s="64"/>
      <c r="C112" s="64"/>
      <c r="D112" s="64"/>
      <c r="E112" s="65"/>
      <c r="F112" s="64"/>
      <c r="G112" s="64"/>
      <c r="H112" s="64"/>
      <c r="I112" s="64"/>
      <c r="J112" s="93"/>
    </row>
    <row r="113" spans="1:10" ht="12">
      <c r="A113" s="59"/>
      <c r="B113" s="59"/>
      <c r="C113" s="59"/>
      <c r="D113" s="59"/>
      <c r="E113" s="60"/>
      <c r="F113" s="59"/>
      <c r="G113" s="59"/>
      <c r="H113" s="59"/>
      <c r="I113" s="59"/>
      <c r="J113" s="93"/>
    </row>
    <row r="114" spans="1:10" ht="12">
      <c r="A114" s="64"/>
      <c r="B114" s="64"/>
      <c r="C114" s="64"/>
      <c r="D114" s="64"/>
      <c r="E114" s="65"/>
      <c r="F114" s="64"/>
      <c r="G114" s="64"/>
      <c r="H114" s="64"/>
      <c r="I114" s="64"/>
      <c r="J114" s="93"/>
    </row>
    <row r="115" spans="1:10" ht="12">
      <c r="A115" s="119" t="s">
        <v>62</v>
      </c>
      <c r="B115" s="64"/>
      <c r="C115" s="237"/>
      <c r="D115" s="237"/>
      <c r="E115" s="237"/>
      <c r="F115" s="64"/>
      <c r="G115" s="64"/>
      <c r="H115" s="64"/>
      <c r="I115" s="64"/>
      <c r="J115" s="93"/>
    </row>
    <row r="116" spans="1:10" ht="12">
      <c r="A116" s="119" t="s">
        <v>60</v>
      </c>
      <c r="B116" s="64"/>
      <c r="C116" s="237"/>
      <c r="D116" s="237"/>
      <c r="E116" s="237"/>
      <c r="F116" s="237"/>
      <c r="G116" s="237"/>
      <c r="H116" s="64"/>
      <c r="I116" s="64"/>
      <c r="J116" s="93"/>
    </row>
    <row r="117" spans="1:10" ht="12">
      <c r="A117" s="119" t="s">
        <v>61</v>
      </c>
      <c r="B117" s="64"/>
      <c r="C117" s="237"/>
      <c r="D117" s="237"/>
      <c r="E117" s="237"/>
      <c r="F117" s="237"/>
      <c r="G117" s="237"/>
      <c r="H117" s="64"/>
      <c r="I117" s="64"/>
      <c r="J117" s="93"/>
    </row>
    <row r="118" spans="1:10" ht="12">
      <c r="A118" s="64"/>
      <c r="B118" s="64"/>
      <c r="C118" s="237"/>
      <c r="D118" s="237"/>
      <c r="E118" s="237"/>
      <c r="F118" s="237"/>
      <c r="G118" s="237"/>
      <c r="H118" s="64"/>
      <c r="I118" s="64"/>
      <c r="J118" s="93"/>
    </row>
    <row r="119" spans="1:10" ht="12">
      <c r="A119" s="64"/>
      <c r="B119" s="64"/>
      <c r="C119" s="237"/>
      <c r="D119" s="237"/>
      <c r="E119" s="237"/>
      <c r="F119" s="237"/>
      <c r="G119" s="237"/>
      <c r="H119" s="64"/>
      <c r="I119" s="64"/>
      <c r="J119" s="93"/>
    </row>
    <row r="120" spans="1:10" ht="12">
      <c r="A120" s="64"/>
      <c r="B120" s="64"/>
      <c r="C120" s="64"/>
      <c r="D120" s="64"/>
      <c r="E120" s="65"/>
      <c r="F120" s="64"/>
      <c r="G120" s="64"/>
      <c r="H120" s="64"/>
      <c r="I120" s="64"/>
      <c r="J120" s="93"/>
    </row>
  </sheetData>
  <sheetProtection/>
  <mergeCells count="24">
    <mergeCell ref="A73:C73"/>
    <mergeCell ref="D73:H73"/>
    <mergeCell ref="A74:C74"/>
    <mergeCell ref="D74:H74"/>
    <mergeCell ref="C118:G118"/>
    <mergeCell ref="C119:G119"/>
    <mergeCell ref="A75:C75"/>
    <mergeCell ref="D75:H75"/>
    <mergeCell ref="A86:I90"/>
    <mergeCell ref="C115:E115"/>
    <mergeCell ref="C116:G116"/>
    <mergeCell ref="C117:G117"/>
    <mergeCell ref="A70:C70"/>
    <mergeCell ref="D70:H70"/>
    <mergeCell ref="A71:C71"/>
    <mergeCell ref="D71:H71"/>
    <mergeCell ref="A72:C72"/>
    <mergeCell ref="D72:H72"/>
    <mergeCell ref="A1:J1"/>
    <mergeCell ref="L7:P7"/>
    <mergeCell ref="L8:Q8"/>
    <mergeCell ref="C61:G61"/>
    <mergeCell ref="A69:C69"/>
    <mergeCell ref="D69:H69"/>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67" max="255" man="1"/>
  </rowBreaks>
</worksheet>
</file>

<file path=xl/worksheets/sheet9.xml><?xml version="1.0" encoding="utf-8"?>
<worksheet xmlns="http://schemas.openxmlformats.org/spreadsheetml/2006/main" xmlns:r="http://schemas.openxmlformats.org/officeDocument/2006/relationships">
  <sheetPr>
    <tabColor theme="0"/>
  </sheetPr>
  <dimension ref="A1:Q134"/>
  <sheetViews>
    <sheetView zoomScalePageLayoutView="0" workbookViewId="0" topLeftCell="A1">
      <selection activeCell="L1" sqref="L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7109375" style="36" customWidth="1"/>
    <col min="12" max="12" width="11.140625" style="36" customWidth="1"/>
    <col min="13" max="16384" width="9.140625" style="36" customWidth="1"/>
  </cols>
  <sheetData>
    <row r="1" spans="1:12" ht="33.75" customHeight="1">
      <c r="A1" s="230" t="s">
        <v>412</v>
      </c>
      <c r="B1" s="230"/>
      <c r="C1" s="230"/>
      <c r="D1" s="230"/>
      <c r="E1" s="230"/>
      <c r="F1" s="230"/>
      <c r="G1" s="230"/>
      <c r="H1" s="230"/>
      <c r="I1" s="230"/>
      <c r="J1" s="230"/>
      <c r="L1" s="177"/>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
      <c r="A7" s="66" t="s">
        <v>202</v>
      </c>
      <c r="B7" s="67"/>
      <c r="C7" s="66">
        <v>550</v>
      </c>
      <c r="D7" s="67"/>
      <c r="E7" s="122" t="s">
        <v>9</v>
      </c>
      <c r="F7" s="67"/>
      <c r="G7" s="172">
        <v>8.25</v>
      </c>
      <c r="H7" s="67"/>
      <c r="I7" s="70">
        <f>C7*G7</f>
        <v>4537.5</v>
      </c>
      <c r="J7" s="71"/>
      <c r="L7" s="231"/>
      <c r="M7" s="231"/>
      <c r="N7" s="231"/>
      <c r="O7" s="231"/>
      <c r="P7" s="231"/>
    </row>
    <row r="8" spans="1:17" ht="6.75" customHeight="1">
      <c r="A8" s="67"/>
      <c r="B8" s="67"/>
      <c r="C8" s="67"/>
      <c r="D8" s="67"/>
      <c r="E8" s="72"/>
      <c r="F8" s="67"/>
      <c r="G8" s="73"/>
      <c r="H8" s="67"/>
      <c r="I8" s="70"/>
      <c r="J8" s="71"/>
      <c r="L8" s="232"/>
      <c r="M8" s="232"/>
      <c r="N8" s="232"/>
      <c r="O8" s="232"/>
      <c r="P8" s="232"/>
      <c r="Q8" s="232"/>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465.3</v>
      </c>
      <c r="J11" s="56"/>
    </row>
    <row r="12" spans="1:11" ht="12">
      <c r="A12" s="78" t="s">
        <v>143</v>
      </c>
      <c r="B12" s="64"/>
      <c r="C12" s="79">
        <v>0.33</v>
      </c>
      <c r="D12" s="64"/>
      <c r="E12" s="80" t="s">
        <v>134</v>
      </c>
      <c r="F12" s="64"/>
      <c r="G12" s="91">
        <f>OnionSeedY</f>
        <v>1325</v>
      </c>
      <c r="H12" s="64"/>
      <c r="I12" s="75">
        <f>C12*G12</f>
        <v>437.25</v>
      </c>
      <c r="J12" s="56"/>
      <c r="K12" s="121"/>
    </row>
    <row r="13" spans="1:10" ht="12">
      <c r="A13" s="169" t="s">
        <v>394</v>
      </c>
      <c r="B13" s="64"/>
      <c r="C13" s="79">
        <v>0.33</v>
      </c>
      <c r="D13" s="64"/>
      <c r="E13" s="80" t="s">
        <v>134</v>
      </c>
      <c r="F13" s="64"/>
      <c r="G13" s="163">
        <v>85</v>
      </c>
      <c r="H13" s="64"/>
      <c r="I13" s="75">
        <f>C13*G13</f>
        <v>28.05</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SUM(I16:I20)</f>
        <v>310.95</v>
      </c>
      <c r="J15" s="56"/>
    </row>
    <row r="16" spans="1:10" ht="12">
      <c r="A16" s="79" t="s">
        <v>71</v>
      </c>
      <c r="B16" s="64"/>
      <c r="C16" s="79">
        <v>50</v>
      </c>
      <c r="D16" s="64"/>
      <c r="E16" s="80" t="s">
        <v>38</v>
      </c>
      <c r="F16" s="64"/>
      <c r="G16" s="91">
        <f>DN</f>
        <v>0.66</v>
      </c>
      <c r="H16" s="64"/>
      <c r="I16" s="75">
        <f>C16*G16</f>
        <v>33</v>
      </c>
      <c r="J16" s="56"/>
    </row>
    <row r="17" spans="1:10" ht="12">
      <c r="A17" s="79" t="s">
        <v>72</v>
      </c>
      <c r="B17" s="64"/>
      <c r="C17" s="79">
        <v>115</v>
      </c>
      <c r="D17" s="64"/>
      <c r="E17" s="80" t="s">
        <v>38</v>
      </c>
      <c r="F17" s="64"/>
      <c r="G17" s="91">
        <f>Dry</f>
        <v>0.53</v>
      </c>
      <c r="H17" s="64"/>
      <c r="I17" s="75">
        <f>C17*G17</f>
        <v>60.95</v>
      </c>
      <c r="J17" s="56"/>
    </row>
    <row r="18" spans="1:10" ht="12">
      <c r="A18" s="79" t="s">
        <v>16</v>
      </c>
      <c r="B18" s="64"/>
      <c r="C18" s="79">
        <v>2</v>
      </c>
      <c r="D18" s="64"/>
      <c r="E18" s="80" t="s">
        <v>39</v>
      </c>
      <c r="F18" s="64"/>
      <c r="G18" s="131">
        <f>Micron</f>
        <v>6</v>
      </c>
      <c r="H18" s="64"/>
      <c r="I18" s="85">
        <f>C18*G18</f>
        <v>12</v>
      </c>
      <c r="J18" s="56"/>
    </row>
    <row r="19" spans="1:10" ht="12">
      <c r="A19" s="79" t="s">
        <v>15</v>
      </c>
      <c r="B19" s="64"/>
      <c r="C19" s="79">
        <v>250</v>
      </c>
      <c r="D19" s="64"/>
      <c r="E19" s="80" t="s">
        <v>38</v>
      </c>
      <c r="F19" s="64"/>
      <c r="G19" s="131">
        <f>LN</f>
        <v>0.82</v>
      </c>
      <c r="H19" s="64"/>
      <c r="I19" s="85">
        <f>C19*G19</f>
        <v>205</v>
      </c>
      <c r="J19" s="56"/>
    </row>
    <row r="20" spans="2:10" ht="12">
      <c r="B20" s="64"/>
      <c r="C20" s="79"/>
      <c r="D20" s="64"/>
      <c r="E20" s="80"/>
      <c r="F20" s="64"/>
      <c r="G20" s="82"/>
      <c r="H20" s="64"/>
      <c r="I20" s="85">
        <f>C20*G20</f>
        <v>0</v>
      </c>
      <c r="J20" s="56"/>
    </row>
    <row r="21" spans="1:10" ht="12">
      <c r="A21" s="64"/>
      <c r="B21" s="64"/>
      <c r="C21" s="64"/>
      <c r="D21" s="64"/>
      <c r="E21" s="65"/>
      <c r="F21" s="64"/>
      <c r="G21" s="74"/>
      <c r="H21" s="64"/>
      <c r="I21" s="85"/>
      <c r="J21" s="56"/>
    </row>
    <row r="22" spans="1:10" ht="12.75">
      <c r="A22" s="76" t="s">
        <v>17</v>
      </c>
      <c r="B22" s="64"/>
      <c r="C22" s="64"/>
      <c r="D22" s="93"/>
      <c r="E22" s="65"/>
      <c r="F22" s="93"/>
      <c r="G22" s="74"/>
      <c r="H22" s="64"/>
      <c r="I22" s="86">
        <f>SUM(I23:I39)</f>
        <v>709.6039999999999</v>
      </c>
      <c r="J22" s="56"/>
    </row>
    <row r="23" spans="1:10" ht="12">
      <c r="A23" s="83" t="s">
        <v>139</v>
      </c>
      <c r="B23" s="93"/>
      <c r="C23" s="88">
        <v>40</v>
      </c>
      <c r="D23" s="93"/>
      <c r="E23" s="127" t="s">
        <v>91</v>
      </c>
      <c r="F23" s="93"/>
      <c r="G23" s="91">
        <f>Vapam</f>
        <v>5.55</v>
      </c>
      <c r="H23" s="64"/>
      <c r="I23" s="85">
        <f>C23*G23</f>
        <v>222</v>
      </c>
      <c r="J23" s="56"/>
    </row>
    <row r="24" spans="1:10" ht="12">
      <c r="A24" s="83" t="s">
        <v>204</v>
      </c>
      <c r="B24" s="93"/>
      <c r="C24" s="88">
        <v>6</v>
      </c>
      <c r="D24" s="93"/>
      <c r="E24" s="127" t="s">
        <v>38</v>
      </c>
      <c r="F24" s="93"/>
      <c r="G24" s="91">
        <f>Lorsban</f>
        <v>2.1</v>
      </c>
      <c r="H24" s="64"/>
      <c r="I24" s="85">
        <f>C24*G24</f>
        <v>12.600000000000001</v>
      </c>
      <c r="J24" s="56"/>
    </row>
    <row r="25" spans="1:10" ht="12">
      <c r="A25" s="83" t="s">
        <v>209</v>
      </c>
      <c r="B25" s="93"/>
      <c r="C25" s="128">
        <v>16</v>
      </c>
      <c r="D25" s="93"/>
      <c r="E25" s="127" t="s">
        <v>193</v>
      </c>
      <c r="F25" s="93"/>
      <c r="G25" s="91">
        <f>Rpowermax</f>
        <v>0.2</v>
      </c>
      <c r="H25" s="64"/>
      <c r="I25" s="85">
        <f>C25*G25</f>
        <v>3.2</v>
      </c>
      <c r="J25" s="56"/>
    </row>
    <row r="26" spans="1:10" ht="12">
      <c r="A26" s="83" t="s">
        <v>203</v>
      </c>
      <c r="B26" s="93"/>
      <c r="C26" s="88">
        <f>2.5</f>
        <v>2.5</v>
      </c>
      <c r="D26" s="93"/>
      <c r="E26" s="127" t="s">
        <v>231</v>
      </c>
      <c r="F26" s="93"/>
      <c r="G26" s="91">
        <f>ProwlH2O</f>
        <v>5.85</v>
      </c>
      <c r="H26" s="64"/>
      <c r="I26" s="85">
        <f>C26*G26</f>
        <v>14.625</v>
      </c>
      <c r="J26" s="56"/>
    </row>
    <row r="27" spans="1:10" ht="12">
      <c r="A27" s="83" t="s">
        <v>200</v>
      </c>
      <c r="B27" s="93"/>
      <c r="C27" s="128">
        <v>2</v>
      </c>
      <c r="D27" s="93"/>
      <c r="E27" s="127" t="s">
        <v>231</v>
      </c>
      <c r="F27" s="93"/>
      <c r="G27" s="91">
        <f>Buc2EC2x</f>
        <v>7.52</v>
      </c>
      <c r="H27" s="64"/>
      <c r="I27" s="85">
        <f>C27*G27</f>
        <v>15.04</v>
      </c>
      <c r="J27" s="56"/>
    </row>
    <row r="28" spans="1:10" ht="12">
      <c r="A28" s="83" t="s">
        <v>137</v>
      </c>
      <c r="B28" s="93"/>
      <c r="C28" s="128">
        <v>1</v>
      </c>
      <c r="D28" s="93"/>
      <c r="E28" s="127" t="s">
        <v>231</v>
      </c>
      <c r="F28" s="93"/>
      <c r="G28" s="91">
        <f>Poast</f>
        <v>13.15</v>
      </c>
      <c r="H28" s="64"/>
      <c r="I28" s="85">
        <f aca="true" t="shared" si="0" ref="I28:I38">C28*G28</f>
        <v>13.15</v>
      </c>
      <c r="J28" s="56"/>
    </row>
    <row r="29" spans="1:10" ht="12">
      <c r="A29" s="83" t="s">
        <v>75</v>
      </c>
      <c r="B29" s="93"/>
      <c r="C29" s="128">
        <v>2</v>
      </c>
      <c r="D29" s="93"/>
      <c r="E29" s="127" t="s">
        <v>231</v>
      </c>
      <c r="F29" s="93"/>
      <c r="G29" s="91">
        <f>MethSeed</f>
        <v>2.5</v>
      </c>
      <c r="H29" s="64"/>
      <c r="I29" s="85">
        <f t="shared" si="0"/>
        <v>5</v>
      </c>
      <c r="J29" s="56"/>
    </row>
    <row r="30" spans="1:10" ht="12">
      <c r="A30" s="88" t="s">
        <v>368</v>
      </c>
      <c r="B30" s="93"/>
      <c r="C30" s="88">
        <v>1</v>
      </c>
      <c r="D30" s="93"/>
      <c r="E30" s="127" t="s">
        <v>231</v>
      </c>
      <c r="F30" s="93"/>
      <c r="G30" s="91">
        <f>DualMagnum</f>
        <v>18.25</v>
      </c>
      <c r="H30" s="64"/>
      <c r="I30" s="85">
        <f t="shared" si="0"/>
        <v>18.25</v>
      </c>
      <c r="J30" s="56"/>
    </row>
    <row r="31" spans="1:13" ht="12">
      <c r="A31" s="83" t="s">
        <v>233</v>
      </c>
      <c r="B31" s="93"/>
      <c r="C31" s="128">
        <v>1</v>
      </c>
      <c r="D31" s="93"/>
      <c r="E31" s="127" t="s">
        <v>231</v>
      </c>
      <c r="F31" s="93"/>
      <c r="G31" s="91">
        <f>Goal</f>
        <v>10.95</v>
      </c>
      <c r="H31" s="64"/>
      <c r="I31" s="85">
        <f t="shared" si="0"/>
        <v>10.95</v>
      </c>
      <c r="J31" s="56"/>
      <c r="K31" s="121"/>
      <c r="L31" s="121"/>
      <c r="M31" s="121"/>
    </row>
    <row r="32" spans="1:13" ht="12">
      <c r="A32" s="83" t="s">
        <v>194</v>
      </c>
      <c r="B32" s="93"/>
      <c r="C32" s="88">
        <v>12</v>
      </c>
      <c r="D32" s="93"/>
      <c r="E32" s="129" t="s">
        <v>193</v>
      </c>
      <c r="F32" s="93"/>
      <c r="G32" s="91">
        <f>Success</f>
        <v>6.1</v>
      </c>
      <c r="H32" s="64"/>
      <c r="I32" s="85">
        <f t="shared" si="0"/>
        <v>73.19999999999999</v>
      </c>
      <c r="J32" s="56"/>
      <c r="K32" s="121"/>
      <c r="L32" s="121"/>
      <c r="M32" s="121"/>
    </row>
    <row r="33" spans="1:10" ht="12">
      <c r="A33" s="83" t="s">
        <v>205</v>
      </c>
      <c r="B33" s="93"/>
      <c r="C33" s="88">
        <v>24</v>
      </c>
      <c r="D33" s="93"/>
      <c r="E33" s="129" t="s">
        <v>193</v>
      </c>
      <c r="F33" s="93"/>
      <c r="G33" s="91">
        <f>AZA</f>
        <v>1.59</v>
      </c>
      <c r="H33" s="64"/>
      <c r="I33" s="85">
        <f t="shared" si="0"/>
        <v>38.160000000000004</v>
      </c>
      <c r="J33" s="56"/>
    </row>
    <row r="34" spans="1:10" ht="12">
      <c r="A34" s="83" t="s">
        <v>195</v>
      </c>
      <c r="B34" s="93"/>
      <c r="C34" s="88">
        <v>9</v>
      </c>
      <c r="D34" s="93"/>
      <c r="E34" s="129" t="s">
        <v>231</v>
      </c>
      <c r="F34" s="93"/>
      <c r="G34" s="91">
        <f>Lannate</f>
        <v>10.15</v>
      </c>
      <c r="H34" s="64"/>
      <c r="I34" s="85">
        <f t="shared" si="0"/>
        <v>91.35000000000001</v>
      </c>
      <c r="J34" s="56"/>
    </row>
    <row r="35" spans="1:12" ht="12">
      <c r="A35" s="83" t="s">
        <v>196</v>
      </c>
      <c r="B35" s="64"/>
      <c r="C35" s="79">
        <v>1</v>
      </c>
      <c r="D35" s="64"/>
      <c r="E35" s="89" t="s">
        <v>38</v>
      </c>
      <c r="F35" s="64"/>
      <c r="G35" s="91">
        <f>Carzol</f>
        <v>50.7</v>
      </c>
      <c r="H35" s="64"/>
      <c r="I35" s="85">
        <f t="shared" si="0"/>
        <v>50.7</v>
      </c>
      <c r="J35" s="56"/>
      <c r="L35" s="130"/>
    </row>
    <row r="36" spans="1:10" ht="12">
      <c r="A36" s="83" t="s">
        <v>197</v>
      </c>
      <c r="B36" s="64"/>
      <c r="C36" s="79">
        <v>3</v>
      </c>
      <c r="D36" s="64"/>
      <c r="E36" s="89" t="s">
        <v>395</v>
      </c>
      <c r="F36" s="64"/>
      <c r="G36" s="91">
        <f>Dithane</f>
        <v>9.3</v>
      </c>
      <c r="H36" s="64"/>
      <c r="I36" s="85">
        <f t="shared" si="0"/>
        <v>27.900000000000002</v>
      </c>
      <c r="J36" s="56"/>
    </row>
    <row r="37" spans="1:10" ht="12">
      <c r="A37" s="83" t="s">
        <v>198</v>
      </c>
      <c r="B37" s="64"/>
      <c r="C37" s="79">
        <v>15</v>
      </c>
      <c r="D37" s="64"/>
      <c r="E37" s="89" t="s">
        <v>193</v>
      </c>
      <c r="F37" s="64"/>
      <c r="G37" s="91">
        <f>Quadris</f>
        <v>2.4</v>
      </c>
      <c r="H37" s="64"/>
      <c r="I37" s="85">
        <f t="shared" si="0"/>
        <v>36</v>
      </c>
      <c r="J37" s="56"/>
    </row>
    <row r="38" spans="1:12" ht="12">
      <c r="A38" s="83" t="s">
        <v>201</v>
      </c>
      <c r="B38" s="64"/>
      <c r="C38" s="79">
        <v>18</v>
      </c>
      <c r="D38" s="64"/>
      <c r="E38" s="129" t="s">
        <v>46</v>
      </c>
      <c r="F38" s="64"/>
      <c r="G38" s="91">
        <f>Pristine</f>
        <v>3.1</v>
      </c>
      <c r="H38" s="64"/>
      <c r="I38" s="85">
        <f t="shared" si="0"/>
        <v>55.800000000000004</v>
      </c>
      <c r="J38" s="56"/>
      <c r="L38" s="130"/>
    </row>
    <row r="39" spans="1:10" ht="12">
      <c r="A39" s="88" t="s">
        <v>92</v>
      </c>
      <c r="B39" s="64"/>
      <c r="C39" s="79">
        <v>1.33</v>
      </c>
      <c r="D39" s="64"/>
      <c r="E39" s="127" t="s">
        <v>91</v>
      </c>
      <c r="F39" s="64"/>
      <c r="G39" s="91">
        <f>MH30</f>
        <v>16.3</v>
      </c>
      <c r="H39" s="64"/>
      <c r="I39" s="85">
        <f>C39*G39</f>
        <v>21.679000000000002</v>
      </c>
      <c r="J39" s="56"/>
    </row>
    <row r="40" spans="1:10" ht="5.25" customHeight="1">
      <c r="A40" s="64"/>
      <c r="B40" s="64"/>
      <c r="C40" s="64"/>
      <c r="D40" s="64"/>
      <c r="E40" s="65"/>
      <c r="F40" s="64"/>
      <c r="G40" s="74"/>
      <c r="H40" s="64"/>
      <c r="I40" s="85"/>
      <c r="J40" s="56"/>
    </row>
    <row r="41" spans="1:10" ht="12.75">
      <c r="A41" s="76" t="s">
        <v>43</v>
      </c>
      <c r="B41" s="64"/>
      <c r="C41" s="93"/>
      <c r="D41" s="64"/>
      <c r="E41" s="65"/>
      <c r="F41" s="64"/>
      <c r="G41" s="74"/>
      <c r="H41" s="64"/>
      <c r="I41" s="86">
        <f>SUM(I42:I47)</f>
        <v>418.25</v>
      </c>
      <c r="J41" s="56"/>
    </row>
    <row r="42" spans="1:10" ht="12">
      <c r="A42" s="79" t="s">
        <v>18</v>
      </c>
      <c r="B42" s="64"/>
      <c r="C42" s="79">
        <v>1</v>
      </c>
      <c r="D42" s="64"/>
      <c r="E42" s="80" t="s">
        <v>39</v>
      </c>
      <c r="F42" s="64"/>
      <c r="G42" s="131">
        <f>CFRC</f>
        <v>8.5</v>
      </c>
      <c r="H42" s="64"/>
      <c r="I42" s="85">
        <f aca="true" t="shared" si="1" ref="I42:I47">C42*G42</f>
        <v>8.5</v>
      </c>
      <c r="J42" s="56"/>
    </row>
    <row r="43" spans="1:10" ht="12">
      <c r="A43" s="83" t="s">
        <v>210</v>
      </c>
      <c r="B43" s="64"/>
      <c r="C43" s="79">
        <v>1</v>
      </c>
      <c r="D43" s="64"/>
      <c r="E43" s="80" t="s">
        <v>39</v>
      </c>
      <c r="F43" s="64"/>
      <c r="G43" s="131">
        <f>CFD</f>
        <v>38</v>
      </c>
      <c r="H43" s="64"/>
      <c r="I43" s="85">
        <f t="shared" si="1"/>
        <v>38</v>
      </c>
      <c r="J43" s="56"/>
    </row>
    <row r="44" spans="1:10" ht="12">
      <c r="A44" s="79" t="s">
        <v>82</v>
      </c>
      <c r="B44" s="64"/>
      <c r="C44" s="79">
        <v>2</v>
      </c>
      <c r="D44" s="64"/>
      <c r="E44" s="80" t="s">
        <v>39</v>
      </c>
      <c r="F44" s="64"/>
      <c r="G44" s="131">
        <f>CS</f>
        <v>13</v>
      </c>
      <c r="H44" s="64"/>
      <c r="I44" s="85">
        <f t="shared" si="1"/>
        <v>26</v>
      </c>
      <c r="J44" s="56"/>
    </row>
    <row r="45" spans="1:10" ht="12">
      <c r="A45" s="88" t="s">
        <v>93</v>
      </c>
      <c r="B45" s="64"/>
      <c r="C45" s="79">
        <v>2</v>
      </c>
      <c r="D45" s="64"/>
      <c r="E45" s="80" t="s">
        <v>39</v>
      </c>
      <c r="F45" s="64"/>
      <c r="G45" s="131">
        <f>HW</f>
        <v>140</v>
      </c>
      <c r="H45" s="64"/>
      <c r="I45" s="85">
        <f t="shared" si="1"/>
        <v>280</v>
      </c>
      <c r="J45" s="56"/>
    </row>
    <row r="46" spans="1:10" ht="12">
      <c r="A46" s="83" t="s">
        <v>199</v>
      </c>
      <c r="B46" s="64"/>
      <c r="C46" s="79">
        <v>5</v>
      </c>
      <c r="D46" s="64"/>
      <c r="E46" s="80" t="s">
        <v>39</v>
      </c>
      <c r="F46" s="64"/>
      <c r="G46" s="131">
        <f>CAirspray5</f>
        <v>9.15</v>
      </c>
      <c r="H46" s="64"/>
      <c r="I46" s="85">
        <f t="shared" si="1"/>
        <v>45.75</v>
      </c>
      <c r="J46" s="56"/>
    </row>
    <row r="47" spans="1:10" ht="12">
      <c r="A47" s="88" t="s">
        <v>19</v>
      </c>
      <c r="B47" s="64"/>
      <c r="C47" s="79">
        <v>1</v>
      </c>
      <c r="D47" s="64"/>
      <c r="E47" s="89" t="s">
        <v>39</v>
      </c>
      <c r="F47" s="64"/>
      <c r="G47" s="131">
        <v>20</v>
      </c>
      <c r="H47" s="64"/>
      <c r="I47" s="85">
        <f t="shared" si="1"/>
        <v>20</v>
      </c>
      <c r="J47" s="56"/>
    </row>
    <row r="48" spans="1:10" ht="12">
      <c r="A48" s="64"/>
      <c r="B48" s="64"/>
      <c r="C48" s="64"/>
      <c r="D48" s="64"/>
      <c r="E48" s="65"/>
      <c r="F48" s="64"/>
      <c r="G48" s="74"/>
      <c r="H48" s="64"/>
      <c r="I48" s="85"/>
      <c r="J48" s="56"/>
    </row>
    <row r="49" spans="1:10" ht="12.75">
      <c r="A49" s="76" t="s">
        <v>22</v>
      </c>
      <c r="B49" s="64"/>
      <c r="C49" s="64"/>
      <c r="D49" s="64"/>
      <c r="E49" s="65"/>
      <c r="F49" s="64"/>
      <c r="G49" s="74"/>
      <c r="H49" s="64"/>
      <c r="I49" s="86">
        <f>SUM(I50:I52)</f>
        <v>51.6</v>
      </c>
      <c r="J49" s="56"/>
    </row>
    <row r="50" spans="1:10" ht="12">
      <c r="A50" s="79" t="s">
        <v>21</v>
      </c>
      <c r="B50" s="64"/>
      <c r="C50" s="79">
        <v>1</v>
      </c>
      <c r="D50" s="64"/>
      <c r="E50" s="80" t="s">
        <v>39</v>
      </c>
      <c r="F50" s="64"/>
      <c r="G50" s="91">
        <f>WaterA</f>
        <v>48.85</v>
      </c>
      <c r="H50" s="64"/>
      <c r="I50" s="85">
        <f>C50*G50</f>
        <v>48.85</v>
      </c>
      <c r="J50" s="56"/>
    </row>
    <row r="51" spans="1:10" ht="12">
      <c r="A51" s="79" t="s">
        <v>89</v>
      </c>
      <c r="B51" s="64"/>
      <c r="C51" s="79">
        <v>1</v>
      </c>
      <c r="D51" s="64"/>
      <c r="E51" s="80" t="s">
        <v>39</v>
      </c>
      <c r="F51" s="64"/>
      <c r="G51" s="91">
        <f>IrrigationR</f>
        <v>2.75</v>
      </c>
      <c r="H51" s="64"/>
      <c r="I51" s="85">
        <f>C51*G51</f>
        <v>2.75</v>
      </c>
      <c r="J51" s="56"/>
    </row>
    <row r="52" spans="1:10" ht="12">
      <c r="A52" s="79"/>
      <c r="B52" s="64"/>
      <c r="C52" s="79"/>
      <c r="D52" s="64"/>
      <c r="E52" s="80"/>
      <c r="F52" s="64"/>
      <c r="G52" s="92"/>
      <c r="H52" s="64"/>
      <c r="I52" s="85">
        <f>C52*G52</f>
        <v>0</v>
      </c>
      <c r="J52" s="56"/>
    </row>
    <row r="53" spans="1:10" ht="5.25" customHeight="1">
      <c r="A53" s="64"/>
      <c r="B53" s="64"/>
      <c r="C53" s="64"/>
      <c r="D53" s="64"/>
      <c r="E53" s="65"/>
      <c r="F53" s="64"/>
      <c r="G53" s="74"/>
      <c r="H53" s="64"/>
      <c r="I53" s="85"/>
      <c r="J53" s="56"/>
    </row>
    <row r="54" spans="1:10" ht="12.75">
      <c r="A54" s="132" t="s">
        <v>149</v>
      </c>
      <c r="B54" s="64"/>
      <c r="C54" s="93"/>
      <c r="D54" s="64"/>
      <c r="E54" s="65"/>
      <c r="F54" s="64"/>
      <c r="G54" s="74"/>
      <c r="H54" s="64"/>
      <c r="I54" s="86">
        <f>SUM(I55:I59)</f>
        <v>180.666</v>
      </c>
      <c r="J54" s="56"/>
    </row>
    <row r="55" spans="1:10" ht="12">
      <c r="A55" s="78" t="s">
        <v>150</v>
      </c>
      <c r="B55" s="64"/>
      <c r="C55" s="79">
        <v>2.52</v>
      </c>
      <c r="D55" s="64"/>
      <c r="E55" s="89" t="s">
        <v>91</v>
      </c>
      <c r="F55" s="64"/>
      <c r="G55" s="91">
        <f>FuelGas</f>
        <v>3.7</v>
      </c>
      <c r="H55" s="64"/>
      <c r="I55" s="85">
        <f>C55*G55</f>
        <v>9.324</v>
      </c>
      <c r="J55" s="56"/>
    </row>
    <row r="56" spans="1:10" ht="12">
      <c r="A56" s="78" t="s">
        <v>151</v>
      </c>
      <c r="B56" s="64"/>
      <c r="C56" s="79">
        <v>27.11</v>
      </c>
      <c r="D56" s="64"/>
      <c r="E56" s="89" t="s">
        <v>91</v>
      </c>
      <c r="F56" s="64"/>
      <c r="G56" s="91">
        <f>FuelD</f>
        <v>3.6</v>
      </c>
      <c r="H56" s="64"/>
      <c r="I56" s="85">
        <f>C56*G56</f>
        <v>97.596</v>
      </c>
      <c r="J56" s="56"/>
    </row>
    <row r="57" spans="1:10" ht="12">
      <c r="A57" s="78" t="s">
        <v>284</v>
      </c>
      <c r="B57" s="64"/>
      <c r="C57" s="79">
        <v>2.66</v>
      </c>
      <c r="D57" s="64"/>
      <c r="E57" s="89" t="s">
        <v>91</v>
      </c>
      <c r="F57" s="64"/>
      <c r="G57" s="91">
        <f>FuelRD</f>
        <v>4.1</v>
      </c>
      <c r="H57" s="64"/>
      <c r="I57" s="85">
        <f>C57*G57</f>
        <v>10.905999999999999</v>
      </c>
      <c r="J57" s="56"/>
    </row>
    <row r="58" spans="1:10" ht="12">
      <c r="A58" s="83" t="s">
        <v>152</v>
      </c>
      <c r="B58" s="64"/>
      <c r="C58" s="79">
        <v>1</v>
      </c>
      <c r="D58" s="64"/>
      <c r="E58" s="89" t="s">
        <v>39</v>
      </c>
      <c r="F58" s="64"/>
      <c r="G58" s="91">
        <v>17.67</v>
      </c>
      <c r="H58" s="64"/>
      <c r="I58" s="85">
        <f>C58*G58</f>
        <v>17.67</v>
      </c>
      <c r="J58" s="56"/>
    </row>
    <row r="59" spans="1:10" ht="12">
      <c r="A59" s="83" t="s">
        <v>26</v>
      </c>
      <c r="B59" s="64"/>
      <c r="C59" s="79">
        <v>1</v>
      </c>
      <c r="D59" s="64"/>
      <c r="E59" s="89" t="s">
        <v>39</v>
      </c>
      <c r="F59" s="64"/>
      <c r="G59" s="91">
        <v>45.17</v>
      </c>
      <c r="H59" s="64"/>
      <c r="I59" s="85">
        <f>C59*G59</f>
        <v>45.17</v>
      </c>
      <c r="J59" s="56"/>
    </row>
    <row r="60" spans="1:10" ht="5.25" customHeight="1">
      <c r="A60" s="94"/>
      <c r="B60" s="93"/>
      <c r="C60" s="95"/>
      <c r="D60" s="93"/>
      <c r="E60" s="96"/>
      <c r="F60" s="93"/>
      <c r="G60" s="97"/>
      <c r="H60" s="64"/>
      <c r="I60" s="85"/>
      <c r="J60" s="56"/>
    </row>
    <row r="61" spans="1:10" ht="12.75">
      <c r="A61" s="132" t="s">
        <v>155</v>
      </c>
      <c r="B61" s="64"/>
      <c r="C61" s="93"/>
      <c r="D61" s="64"/>
      <c r="E61" s="65"/>
      <c r="F61" s="64"/>
      <c r="G61" s="74"/>
      <c r="H61" s="64"/>
      <c r="I61" s="86">
        <f>SUM(I62:I65)</f>
        <v>251.96999999999997</v>
      </c>
      <c r="J61" s="56"/>
    </row>
    <row r="62" spans="1:10" ht="12">
      <c r="A62" s="78" t="s">
        <v>156</v>
      </c>
      <c r="B62" s="64"/>
      <c r="C62" s="79">
        <v>5.65</v>
      </c>
      <c r="D62" s="64"/>
      <c r="E62" s="89" t="s">
        <v>42</v>
      </c>
      <c r="F62" s="64"/>
      <c r="G62" s="91">
        <f>Labor</f>
        <v>17.8</v>
      </c>
      <c r="H62" s="64"/>
      <c r="I62" s="85">
        <f>C62*G62</f>
        <v>100.57000000000001</v>
      </c>
      <c r="J62" s="56"/>
    </row>
    <row r="63" spans="1:10" ht="12">
      <c r="A63" s="78" t="s">
        <v>326</v>
      </c>
      <c r="B63" s="64"/>
      <c r="C63" s="79">
        <v>4.9</v>
      </c>
      <c r="D63" s="64"/>
      <c r="E63" s="89" t="s">
        <v>42</v>
      </c>
      <c r="F63" s="64"/>
      <c r="G63" s="91">
        <v>13.8</v>
      </c>
      <c r="H63" s="64"/>
      <c r="I63" s="85">
        <f>C63*G63</f>
        <v>67.62</v>
      </c>
      <c r="J63" s="56"/>
    </row>
    <row r="64" spans="1:10" ht="12">
      <c r="A64" s="78" t="s">
        <v>158</v>
      </c>
      <c r="B64" s="64"/>
      <c r="C64" s="79">
        <v>5.25</v>
      </c>
      <c r="D64" s="64"/>
      <c r="E64" s="80" t="s">
        <v>42</v>
      </c>
      <c r="F64" s="64"/>
      <c r="G64" s="91">
        <f>IrriL</f>
        <v>12.6</v>
      </c>
      <c r="H64" s="64"/>
      <c r="I64" s="85">
        <f>C64*G64</f>
        <v>66.14999999999999</v>
      </c>
      <c r="J64" s="56"/>
    </row>
    <row r="65" spans="1:10" ht="12">
      <c r="A65" s="78" t="s">
        <v>153</v>
      </c>
      <c r="B65" s="64"/>
      <c r="C65" s="79">
        <v>1.72</v>
      </c>
      <c r="D65" s="64"/>
      <c r="E65" s="89" t="s">
        <v>42</v>
      </c>
      <c r="F65" s="64"/>
      <c r="G65" s="91">
        <f>Laborother</f>
        <v>10.25</v>
      </c>
      <c r="H65" s="64"/>
      <c r="I65" s="85">
        <f>C65*G65</f>
        <v>17.63</v>
      </c>
      <c r="J65" s="56"/>
    </row>
    <row r="66" spans="1:10" ht="5.25" customHeight="1">
      <c r="A66" s="95"/>
      <c r="B66" s="93"/>
      <c r="C66" s="95"/>
      <c r="D66" s="93"/>
      <c r="E66" s="96"/>
      <c r="F66" s="93"/>
      <c r="G66" s="97"/>
      <c r="H66" s="64"/>
      <c r="I66" s="85"/>
      <c r="J66" s="56"/>
    </row>
    <row r="67" spans="1:10" ht="12.75">
      <c r="A67" s="76" t="s">
        <v>154</v>
      </c>
      <c r="B67" s="64"/>
      <c r="C67" s="93"/>
      <c r="D67" s="64"/>
      <c r="E67" s="65"/>
      <c r="F67" s="93"/>
      <c r="G67" s="74"/>
      <c r="H67" s="64"/>
      <c r="I67" s="86">
        <f>SUM(I68:I69)</f>
        <v>316.25</v>
      </c>
      <c r="J67" s="56"/>
    </row>
    <row r="68" spans="1:10" ht="12">
      <c r="A68" s="88" t="s">
        <v>95</v>
      </c>
      <c r="B68" s="93"/>
      <c r="C68" s="88">
        <v>275</v>
      </c>
      <c r="D68" s="93"/>
      <c r="E68" s="127" t="s">
        <v>9</v>
      </c>
      <c r="F68" s="93"/>
      <c r="G68" s="131">
        <v>0.95</v>
      </c>
      <c r="H68" s="64"/>
      <c r="I68" s="85">
        <f>C68*G68</f>
        <v>261.25</v>
      </c>
      <c r="J68" s="56"/>
    </row>
    <row r="69" spans="1:10" ht="12">
      <c r="A69" s="83" t="s">
        <v>206</v>
      </c>
      <c r="B69" s="93"/>
      <c r="C69" s="88">
        <v>275</v>
      </c>
      <c r="D69" s="93"/>
      <c r="E69" s="127" t="s">
        <v>9</v>
      </c>
      <c r="F69" s="93"/>
      <c r="G69" s="131">
        <v>0.2</v>
      </c>
      <c r="H69" s="64"/>
      <c r="I69" s="85">
        <f>C69*G69</f>
        <v>55</v>
      </c>
      <c r="J69" s="56"/>
    </row>
    <row r="70" spans="1:10" ht="6" customHeight="1">
      <c r="A70" s="94"/>
      <c r="B70" s="93"/>
      <c r="C70" s="95"/>
      <c r="D70" s="93"/>
      <c r="E70" s="96"/>
      <c r="F70" s="93"/>
      <c r="G70" s="100"/>
      <c r="H70" s="64"/>
      <c r="I70" s="85"/>
      <c r="J70" s="56"/>
    </row>
    <row r="71" spans="1:10" ht="12.75">
      <c r="A71" s="76" t="s">
        <v>23</v>
      </c>
      <c r="B71" s="64"/>
      <c r="C71" s="93"/>
      <c r="D71" s="64"/>
      <c r="E71" s="65"/>
      <c r="F71" s="64"/>
      <c r="G71" s="74"/>
      <c r="H71" s="64"/>
      <c r="I71" s="86">
        <f>SUM(I72:I73)</f>
        <v>137.5</v>
      </c>
      <c r="J71" s="56"/>
    </row>
    <row r="72" spans="1:10" ht="12">
      <c r="A72" s="79" t="s">
        <v>24</v>
      </c>
      <c r="B72" s="64"/>
      <c r="C72" s="79">
        <v>1</v>
      </c>
      <c r="D72" s="64"/>
      <c r="E72" s="80" t="s">
        <v>39</v>
      </c>
      <c r="F72" s="64"/>
      <c r="G72" s="81">
        <v>84</v>
      </c>
      <c r="H72" s="64"/>
      <c r="I72" s="85">
        <f>C72*G72</f>
        <v>84</v>
      </c>
      <c r="J72" s="56"/>
    </row>
    <row r="73" spans="1:10" ht="12">
      <c r="A73" s="79" t="s">
        <v>94</v>
      </c>
      <c r="B73" s="64"/>
      <c r="C73" s="88">
        <v>535</v>
      </c>
      <c r="D73" s="64"/>
      <c r="E73" s="80" t="s">
        <v>9</v>
      </c>
      <c r="F73" s="64"/>
      <c r="G73" s="91">
        <v>0.1</v>
      </c>
      <c r="H73" s="64"/>
      <c r="I73" s="85">
        <f>C73*G73</f>
        <v>53.5</v>
      </c>
      <c r="J73" s="56"/>
    </row>
    <row r="74" spans="1:10" ht="4.5" customHeight="1">
      <c r="A74" s="95"/>
      <c r="B74" s="93"/>
      <c r="C74" s="95"/>
      <c r="D74" s="93"/>
      <c r="E74" s="96"/>
      <c r="F74" s="93"/>
      <c r="G74" s="97"/>
      <c r="H74" s="64"/>
      <c r="I74" s="101"/>
      <c r="J74" s="56"/>
    </row>
    <row r="75" spans="1:10" ht="12">
      <c r="A75" s="102" t="s">
        <v>388</v>
      </c>
      <c r="B75" s="64"/>
      <c r="C75" s="233"/>
      <c r="D75" s="231"/>
      <c r="E75" s="231"/>
      <c r="F75" s="231"/>
      <c r="G75" s="231"/>
      <c r="H75" s="64"/>
      <c r="I75" s="91">
        <v>69.41</v>
      </c>
      <c r="J75" s="56"/>
    </row>
    <row r="76" spans="1:10" ht="5.25" customHeight="1">
      <c r="A76" s="64"/>
      <c r="B76" s="64"/>
      <c r="C76" s="64"/>
      <c r="D76" s="64"/>
      <c r="E76" s="65"/>
      <c r="F76" s="64"/>
      <c r="G76" s="64"/>
      <c r="H76" s="64"/>
      <c r="I76" s="85"/>
      <c r="J76" s="56"/>
    </row>
    <row r="77" spans="1:10" ht="12">
      <c r="A77" s="64" t="s">
        <v>27</v>
      </c>
      <c r="B77" s="64"/>
      <c r="C77" s="64"/>
      <c r="D77" s="64"/>
      <c r="E77" s="65"/>
      <c r="F77" s="64"/>
      <c r="G77" s="64"/>
      <c r="H77" s="64"/>
      <c r="I77" s="85">
        <f>SUM(I11:I75)-(I11+I15+I22+I41+I49+I54+I61+I67+I71)</f>
        <v>2911.4999999999986</v>
      </c>
      <c r="J77" s="56"/>
    </row>
    <row r="78" spans="1:10" ht="12">
      <c r="A78" s="64" t="s">
        <v>28</v>
      </c>
      <c r="B78" s="64"/>
      <c r="C78" s="64"/>
      <c r="D78" s="64"/>
      <c r="E78" s="65"/>
      <c r="F78" s="64"/>
      <c r="G78" s="64"/>
      <c r="H78" s="64"/>
      <c r="I78" s="85">
        <f>I77/C7</f>
        <v>5.293636363636361</v>
      </c>
      <c r="J78" s="56"/>
    </row>
    <row r="79" spans="1:10" ht="5.25" customHeight="1">
      <c r="A79" s="64"/>
      <c r="B79" s="64"/>
      <c r="C79" s="64"/>
      <c r="D79" s="64"/>
      <c r="E79" s="65"/>
      <c r="F79" s="64"/>
      <c r="G79" s="64"/>
      <c r="H79" s="64"/>
      <c r="I79" s="85"/>
      <c r="J79" s="56"/>
    </row>
    <row r="80" spans="1:10" ht="12">
      <c r="A80" s="59" t="s">
        <v>29</v>
      </c>
      <c r="B80" s="59"/>
      <c r="C80" s="59"/>
      <c r="D80" s="59"/>
      <c r="E80" s="60"/>
      <c r="F80" s="59"/>
      <c r="G80" s="59"/>
      <c r="H80" s="59"/>
      <c r="I80" s="103">
        <f>I7-I77</f>
        <v>1626.0000000000014</v>
      </c>
      <c r="J80" s="56"/>
    </row>
    <row r="81" spans="1:10" ht="5.25" customHeight="1">
      <c r="A81" s="64"/>
      <c r="B81" s="64"/>
      <c r="C81" s="64"/>
      <c r="D81" s="64"/>
      <c r="E81" s="65"/>
      <c r="F81" s="64"/>
      <c r="G81" s="64"/>
      <c r="H81" s="64"/>
      <c r="I81" s="85"/>
      <c r="J81" s="56"/>
    </row>
    <row r="82" spans="1:10" ht="12.75">
      <c r="A82" s="63" t="s">
        <v>30</v>
      </c>
      <c r="B82" s="64"/>
      <c r="C82" s="64"/>
      <c r="D82" s="64"/>
      <c r="E82" s="65"/>
      <c r="F82" s="64"/>
      <c r="G82" s="64"/>
      <c r="H82" s="64"/>
      <c r="I82" s="85"/>
      <c r="J82" s="56"/>
    </row>
    <row r="83" spans="1:10" ht="12">
      <c r="A83" s="234" t="s">
        <v>63</v>
      </c>
      <c r="B83" s="234"/>
      <c r="C83" s="234"/>
      <c r="D83" s="233"/>
      <c r="E83" s="233"/>
      <c r="F83" s="233"/>
      <c r="G83" s="233"/>
      <c r="H83" s="233"/>
      <c r="I83" s="91">
        <v>5.82</v>
      </c>
      <c r="J83" s="56"/>
    </row>
    <row r="84" spans="1:10" ht="12">
      <c r="A84" s="236" t="s">
        <v>352</v>
      </c>
      <c r="B84" s="236"/>
      <c r="C84" s="236"/>
      <c r="D84" s="233"/>
      <c r="E84" s="231"/>
      <c r="F84" s="231"/>
      <c r="G84" s="231"/>
      <c r="H84" s="231"/>
      <c r="I84" s="91">
        <v>192.89</v>
      </c>
      <c r="J84" s="56"/>
    </row>
    <row r="85" spans="1:10" ht="12">
      <c r="A85" s="237" t="s">
        <v>44</v>
      </c>
      <c r="B85" s="237"/>
      <c r="C85" s="237"/>
      <c r="D85" s="233"/>
      <c r="E85" s="231"/>
      <c r="F85" s="231"/>
      <c r="G85" s="231"/>
      <c r="H85" s="231"/>
      <c r="I85" s="91">
        <v>400</v>
      </c>
      <c r="J85" s="56"/>
    </row>
    <row r="86" spans="1:10" ht="12">
      <c r="A86" s="237" t="s">
        <v>31</v>
      </c>
      <c r="B86" s="237"/>
      <c r="C86" s="237"/>
      <c r="D86" s="233"/>
      <c r="E86" s="231"/>
      <c r="F86" s="231"/>
      <c r="G86" s="231"/>
      <c r="H86" s="231"/>
      <c r="I86" s="91">
        <v>66</v>
      </c>
      <c r="J86" s="56"/>
    </row>
    <row r="87" spans="1:10" ht="12">
      <c r="A87" s="237" t="s">
        <v>32</v>
      </c>
      <c r="B87" s="237"/>
      <c r="C87" s="237"/>
      <c r="D87" s="233"/>
      <c r="E87" s="231"/>
      <c r="F87" s="231"/>
      <c r="G87" s="231"/>
      <c r="H87" s="231"/>
      <c r="I87" s="91">
        <v>162</v>
      </c>
      <c r="J87" s="56"/>
    </row>
    <row r="88" spans="1:10" ht="12">
      <c r="A88" s="237"/>
      <c r="B88" s="237"/>
      <c r="C88" s="237"/>
      <c r="D88" s="235"/>
      <c r="E88" s="235"/>
      <c r="F88" s="235"/>
      <c r="G88" s="235"/>
      <c r="H88" s="235"/>
      <c r="I88" s="88"/>
      <c r="J88" s="56"/>
    </row>
    <row r="89" spans="1:10" ht="12">
      <c r="A89" s="237"/>
      <c r="B89" s="237"/>
      <c r="C89" s="237"/>
      <c r="D89" s="235"/>
      <c r="E89" s="235"/>
      <c r="F89" s="235"/>
      <c r="G89" s="235"/>
      <c r="H89" s="235"/>
      <c r="I89" s="104"/>
      <c r="J89" s="56"/>
    </row>
    <row r="90" spans="1:10" ht="5.25" customHeight="1">
      <c r="A90" s="64"/>
      <c r="B90" s="64"/>
      <c r="C90" s="64"/>
      <c r="D90" s="64"/>
      <c r="E90" s="65"/>
      <c r="F90" s="64"/>
      <c r="G90" s="64"/>
      <c r="H90" s="64"/>
      <c r="I90" s="85"/>
      <c r="J90" s="56"/>
    </row>
    <row r="91" spans="1:10" ht="12.75">
      <c r="A91" s="76" t="s">
        <v>33</v>
      </c>
      <c r="B91" s="64"/>
      <c r="C91" s="64"/>
      <c r="D91" s="64"/>
      <c r="E91" s="65"/>
      <c r="F91" s="64"/>
      <c r="G91" s="64"/>
      <c r="H91" s="64"/>
      <c r="I91" s="85">
        <f>SUM(I82:I89)</f>
        <v>826.71</v>
      </c>
      <c r="J91" s="56"/>
    </row>
    <row r="92" spans="1:10" ht="12.75">
      <c r="A92" s="76" t="s">
        <v>34</v>
      </c>
      <c r="B92" s="64"/>
      <c r="C92" s="64"/>
      <c r="D92" s="64"/>
      <c r="E92" s="65"/>
      <c r="F92" s="64"/>
      <c r="G92" s="64"/>
      <c r="H92" s="64"/>
      <c r="I92" s="85">
        <f>I91/C7</f>
        <v>1.503109090909091</v>
      </c>
      <c r="J92" s="56"/>
    </row>
    <row r="93" spans="1:10" ht="12">
      <c r="A93" s="64"/>
      <c r="B93" s="64"/>
      <c r="C93" s="64"/>
      <c r="D93" s="64"/>
      <c r="E93" s="65"/>
      <c r="F93" s="64"/>
      <c r="G93" s="64"/>
      <c r="H93" s="64"/>
      <c r="I93" s="85"/>
      <c r="J93" s="56"/>
    </row>
    <row r="94" spans="1:10" ht="12.75">
      <c r="A94" s="76" t="s">
        <v>35</v>
      </c>
      <c r="B94" s="64"/>
      <c r="C94" s="64"/>
      <c r="D94" s="64"/>
      <c r="E94" s="65"/>
      <c r="F94" s="64"/>
      <c r="G94" s="64"/>
      <c r="H94" s="64"/>
      <c r="I94" s="85">
        <f>I77+I91</f>
        <v>3738.2099999999987</v>
      </c>
      <c r="J94" s="56"/>
    </row>
    <row r="95" spans="1:10" ht="12.75">
      <c r="A95" s="76" t="s">
        <v>36</v>
      </c>
      <c r="B95" s="64"/>
      <c r="C95" s="64"/>
      <c r="D95" s="64"/>
      <c r="E95" s="65"/>
      <c r="F95" s="64"/>
      <c r="G95" s="64"/>
      <c r="H95" s="64"/>
      <c r="I95" s="85">
        <f>I94/C7</f>
        <v>6.796745454545452</v>
      </c>
      <c r="J95" s="56"/>
    </row>
    <row r="96" spans="1:10" ht="12">
      <c r="A96" s="64"/>
      <c r="B96" s="64"/>
      <c r="C96" s="64"/>
      <c r="D96" s="64"/>
      <c r="E96" s="65"/>
      <c r="F96" s="64"/>
      <c r="G96" s="64"/>
      <c r="H96" s="64"/>
      <c r="I96" s="85"/>
      <c r="J96" s="56"/>
    </row>
    <row r="97" spans="1:10" ht="12">
      <c r="A97" s="64" t="s">
        <v>37</v>
      </c>
      <c r="B97" s="64"/>
      <c r="C97" s="64"/>
      <c r="D97" s="64"/>
      <c r="E97" s="65"/>
      <c r="F97" s="64"/>
      <c r="G97" s="64"/>
      <c r="H97" s="64"/>
      <c r="I97" s="85">
        <f>I7-I94</f>
        <v>799.2900000000013</v>
      </c>
      <c r="J97" s="56"/>
    </row>
    <row r="98" spans="1:10" ht="12">
      <c r="A98" s="59"/>
      <c r="B98" s="59"/>
      <c r="C98" s="59"/>
      <c r="D98" s="59"/>
      <c r="E98" s="60"/>
      <c r="F98" s="59"/>
      <c r="G98" s="59"/>
      <c r="H98" s="59"/>
      <c r="I98" s="61"/>
      <c r="J98" s="62"/>
    </row>
    <row r="99" spans="1:10" ht="12">
      <c r="A99" s="67" t="s">
        <v>87</v>
      </c>
      <c r="B99" s="67"/>
      <c r="C99" s="67"/>
      <c r="D99" s="67"/>
      <c r="E99" s="72"/>
      <c r="F99" s="67"/>
      <c r="G99" s="67"/>
      <c r="H99" s="67"/>
      <c r="I99" s="67"/>
      <c r="J99" s="105"/>
    </row>
    <row r="100" spans="1:10" ht="12">
      <c r="A100" s="238" t="s">
        <v>45</v>
      </c>
      <c r="B100" s="238"/>
      <c r="C100" s="238"/>
      <c r="D100" s="238"/>
      <c r="E100" s="238"/>
      <c r="F100" s="238"/>
      <c r="G100" s="238"/>
      <c r="H100" s="238"/>
      <c r="I100" s="238"/>
      <c r="J100" s="93"/>
    </row>
    <row r="101" spans="1:10" ht="12">
      <c r="A101" s="238"/>
      <c r="B101" s="238"/>
      <c r="C101" s="238"/>
      <c r="D101" s="238"/>
      <c r="E101" s="238"/>
      <c r="F101" s="238"/>
      <c r="G101" s="238"/>
      <c r="H101" s="238"/>
      <c r="I101" s="238"/>
      <c r="J101" s="93"/>
    </row>
    <row r="102" spans="1:10" ht="12">
      <c r="A102" s="238"/>
      <c r="B102" s="238"/>
      <c r="C102" s="238"/>
      <c r="D102" s="238"/>
      <c r="E102" s="238"/>
      <c r="F102" s="238"/>
      <c r="G102" s="238"/>
      <c r="H102" s="238"/>
      <c r="I102" s="238"/>
      <c r="J102" s="93"/>
    </row>
    <row r="103" spans="1:10" ht="12">
      <c r="A103" s="238"/>
      <c r="B103" s="238"/>
      <c r="C103" s="238"/>
      <c r="D103" s="238"/>
      <c r="E103" s="238"/>
      <c r="F103" s="238"/>
      <c r="G103" s="238"/>
      <c r="H103" s="238"/>
      <c r="I103" s="238"/>
      <c r="J103" s="93"/>
    </row>
    <row r="104" spans="1:10" ht="12">
      <c r="A104" s="238"/>
      <c r="B104" s="238"/>
      <c r="C104" s="238"/>
      <c r="D104" s="238"/>
      <c r="E104" s="238"/>
      <c r="F104" s="238"/>
      <c r="G104" s="238"/>
      <c r="H104" s="238"/>
      <c r="I104" s="238"/>
      <c r="J104" s="93"/>
    </row>
    <row r="105" spans="1:10" ht="12">
      <c r="A105" s="64"/>
      <c r="B105" s="64"/>
      <c r="C105" s="64"/>
      <c r="D105" s="64"/>
      <c r="E105" s="65"/>
      <c r="F105" s="64"/>
      <c r="G105" s="64"/>
      <c r="H105" s="64"/>
      <c r="I105" s="64"/>
      <c r="J105" s="93"/>
    </row>
    <row r="106" spans="1:10" ht="12.75">
      <c r="A106" s="106" t="s">
        <v>52</v>
      </c>
      <c r="B106" s="64"/>
      <c r="C106" s="107" t="s">
        <v>56</v>
      </c>
      <c r="D106" s="64"/>
      <c r="E106" s="65" t="s">
        <v>54</v>
      </c>
      <c r="F106" s="64"/>
      <c r="G106" s="107" t="s">
        <v>55</v>
      </c>
      <c r="H106" s="64"/>
      <c r="I106" s="64"/>
      <c r="J106" s="93"/>
    </row>
    <row r="107" spans="1:10" ht="12">
      <c r="A107" s="64"/>
      <c r="B107" s="64"/>
      <c r="C107" s="108">
        <v>0.1</v>
      </c>
      <c r="D107" s="64"/>
      <c r="E107" s="65"/>
      <c r="F107" s="64"/>
      <c r="G107" s="108">
        <v>0.1</v>
      </c>
      <c r="H107" s="64"/>
      <c r="I107" s="64"/>
      <c r="J107" s="93"/>
    </row>
    <row r="108" spans="1:10" ht="12">
      <c r="A108" s="64"/>
      <c r="B108" s="64"/>
      <c r="C108" s="109"/>
      <c r="D108" s="59"/>
      <c r="E108" s="58" t="s">
        <v>53</v>
      </c>
      <c r="F108" s="59"/>
      <c r="G108" s="109"/>
      <c r="H108" s="64"/>
      <c r="I108" s="64"/>
      <c r="J108" s="93"/>
    </row>
    <row r="109" spans="1:10" ht="12">
      <c r="A109" s="110" t="s">
        <v>49</v>
      </c>
      <c r="B109" s="64"/>
      <c r="C109" s="111">
        <f>E109*(1-C107)</f>
        <v>495</v>
      </c>
      <c r="D109" s="112"/>
      <c r="E109" s="113">
        <f>C7</f>
        <v>550</v>
      </c>
      <c r="F109" s="112"/>
      <c r="G109" s="114">
        <f>E109*(1+G107)</f>
        <v>605</v>
      </c>
      <c r="H109" s="64"/>
      <c r="I109" s="64"/>
      <c r="J109" s="93"/>
    </row>
    <row r="110" spans="1:10" ht="4.5" customHeight="1">
      <c r="A110" s="64"/>
      <c r="B110" s="64"/>
      <c r="C110" s="64"/>
      <c r="D110" s="64"/>
      <c r="E110" s="65"/>
      <c r="F110" s="64"/>
      <c r="G110" s="64"/>
      <c r="H110" s="64"/>
      <c r="I110" s="64"/>
      <c r="J110" s="93"/>
    </row>
    <row r="111" spans="1:10" ht="12">
      <c r="A111" s="64" t="s">
        <v>57</v>
      </c>
      <c r="B111" s="64"/>
      <c r="C111" s="115">
        <f>$I$77/C109</f>
        <v>5.881818181818179</v>
      </c>
      <c r="D111" s="64"/>
      <c r="E111" s="115">
        <f>$I$77/E109</f>
        <v>5.293636363636361</v>
      </c>
      <c r="F111" s="64"/>
      <c r="G111" s="115">
        <f>$I$77/G109</f>
        <v>4.812396694214874</v>
      </c>
      <c r="H111" s="64"/>
      <c r="I111" s="64"/>
      <c r="J111" s="93"/>
    </row>
    <row r="112" spans="1:10" ht="4.5" customHeight="1">
      <c r="A112" s="64"/>
      <c r="B112" s="64"/>
      <c r="C112" s="64"/>
      <c r="D112" s="64"/>
      <c r="E112" s="65"/>
      <c r="F112" s="64"/>
      <c r="G112" s="64"/>
      <c r="H112" s="64"/>
      <c r="I112" s="64"/>
      <c r="J112" s="93"/>
    </row>
    <row r="113" spans="1:10" ht="12">
      <c r="A113" s="64" t="s">
        <v>58</v>
      </c>
      <c r="B113" s="64"/>
      <c r="C113" s="115">
        <f>$I$91/C109</f>
        <v>1.6701212121212121</v>
      </c>
      <c r="D113" s="64"/>
      <c r="E113" s="115">
        <f>$I$91/E109</f>
        <v>1.503109090909091</v>
      </c>
      <c r="F113" s="64"/>
      <c r="G113" s="115">
        <f>$I$91/G109</f>
        <v>1.3664628099173555</v>
      </c>
      <c r="H113" s="64"/>
      <c r="I113" s="64"/>
      <c r="J113" s="93"/>
    </row>
    <row r="114" spans="1:10" ht="3.75" customHeight="1">
      <c r="A114" s="64"/>
      <c r="B114" s="64"/>
      <c r="C114" s="64"/>
      <c r="D114" s="64"/>
      <c r="E114" s="65"/>
      <c r="F114" s="64"/>
      <c r="G114" s="64"/>
      <c r="H114" s="64"/>
      <c r="I114" s="64"/>
      <c r="J114" s="93"/>
    </row>
    <row r="115" spans="1:10" ht="12">
      <c r="A115" s="64" t="s">
        <v>59</v>
      </c>
      <c r="B115" s="64"/>
      <c r="C115" s="115">
        <f>$I$94/C109</f>
        <v>7.551939393939391</v>
      </c>
      <c r="D115" s="64"/>
      <c r="E115" s="115">
        <f>$I$94/E109</f>
        <v>6.796745454545452</v>
      </c>
      <c r="F115" s="64"/>
      <c r="G115" s="115">
        <f>$I$94/G109</f>
        <v>6.178859504132229</v>
      </c>
      <c r="H115" s="64"/>
      <c r="I115" s="64"/>
      <c r="J115" s="93"/>
    </row>
    <row r="116" spans="1:10" ht="5.25" customHeight="1">
      <c r="A116" s="67"/>
      <c r="B116" s="67"/>
      <c r="C116" s="67"/>
      <c r="D116" s="67"/>
      <c r="E116" s="72"/>
      <c r="F116" s="67"/>
      <c r="G116" s="67"/>
      <c r="H116" s="67"/>
      <c r="I116" s="67"/>
      <c r="J116" s="93"/>
    </row>
    <row r="117" spans="1:10" ht="12">
      <c r="A117" s="64"/>
      <c r="B117" s="64"/>
      <c r="C117" s="64"/>
      <c r="D117" s="64"/>
      <c r="E117" s="65"/>
      <c r="F117" s="64"/>
      <c r="G117" s="64"/>
      <c r="H117" s="64"/>
      <c r="I117" s="64"/>
      <c r="J117" s="93"/>
    </row>
    <row r="118" spans="1:10" ht="12">
      <c r="A118" s="64"/>
      <c r="B118" s="64"/>
      <c r="C118" s="59"/>
      <c r="D118" s="59"/>
      <c r="E118" s="60" t="s">
        <v>49</v>
      </c>
      <c r="F118" s="59"/>
      <c r="G118" s="59"/>
      <c r="H118" s="64"/>
      <c r="I118" s="64"/>
      <c r="J118" s="93"/>
    </row>
    <row r="119" spans="1:10" ht="12">
      <c r="A119" s="110" t="s">
        <v>53</v>
      </c>
      <c r="B119" s="64"/>
      <c r="C119" s="116">
        <f>E119*(1-C107)</f>
        <v>7.425</v>
      </c>
      <c r="D119" s="112"/>
      <c r="E119" s="117">
        <f>G7</f>
        <v>8.25</v>
      </c>
      <c r="F119" s="112"/>
      <c r="G119" s="116">
        <f>E119*(1+G107)</f>
        <v>9.075000000000001</v>
      </c>
      <c r="H119" s="64"/>
      <c r="I119" s="64"/>
      <c r="J119" s="93"/>
    </row>
    <row r="120" spans="1:10" ht="4.5" customHeight="1">
      <c r="A120" s="64"/>
      <c r="B120" s="64"/>
      <c r="C120" s="64"/>
      <c r="D120" s="64"/>
      <c r="E120" s="65"/>
      <c r="F120" s="64"/>
      <c r="G120" s="64"/>
      <c r="H120" s="64"/>
      <c r="I120" s="64"/>
      <c r="J120" s="93"/>
    </row>
    <row r="121" spans="1:10" ht="12">
      <c r="A121" s="64" t="s">
        <v>57</v>
      </c>
      <c r="B121" s="64"/>
      <c r="C121" s="118">
        <f>$I$77/C119</f>
        <v>392.12121212121195</v>
      </c>
      <c r="D121" s="64"/>
      <c r="E121" s="118">
        <f>$I$77/E119</f>
        <v>352.90909090909076</v>
      </c>
      <c r="F121" s="64"/>
      <c r="G121" s="118">
        <f>$I$77/G119</f>
        <v>320.82644628099155</v>
      </c>
      <c r="H121" s="64"/>
      <c r="I121" s="64"/>
      <c r="J121" s="93"/>
    </row>
    <row r="122" spans="1:10" ht="3" customHeight="1">
      <c r="A122" s="64"/>
      <c r="B122" s="64"/>
      <c r="C122" s="64"/>
      <c r="D122" s="64"/>
      <c r="E122" s="65"/>
      <c r="F122" s="64"/>
      <c r="G122" s="64"/>
      <c r="H122" s="64"/>
      <c r="I122" s="64"/>
      <c r="J122" s="93"/>
    </row>
    <row r="123" spans="1:10" ht="12">
      <c r="A123" s="64" t="s">
        <v>58</v>
      </c>
      <c r="B123" s="64"/>
      <c r="C123" s="118">
        <f>$I$91/C119</f>
        <v>111.34141414141415</v>
      </c>
      <c r="D123" s="64"/>
      <c r="E123" s="118">
        <f>$I$91/E119</f>
        <v>100.20727272727274</v>
      </c>
      <c r="F123" s="64"/>
      <c r="G123" s="118">
        <f>$I$91/G119</f>
        <v>91.09752066115702</v>
      </c>
      <c r="H123" s="64"/>
      <c r="I123" s="64"/>
      <c r="J123" s="93"/>
    </row>
    <row r="124" spans="1:10" ht="3.75" customHeight="1">
      <c r="A124" s="64"/>
      <c r="B124" s="64"/>
      <c r="C124" s="64"/>
      <c r="D124" s="64"/>
      <c r="E124" s="65"/>
      <c r="F124" s="64"/>
      <c r="G124" s="64"/>
      <c r="H124" s="64"/>
      <c r="I124" s="64"/>
      <c r="J124" s="93"/>
    </row>
    <row r="125" spans="1:10" ht="12">
      <c r="A125" s="64" t="s">
        <v>59</v>
      </c>
      <c r="B125" s="64"/>
      <c r="C125" s="118">
        <f>$I$94/C119</f>
        <v>503.4626262626261</v>
      </c>
      <c r="D125" s="64"/>
      <c r="E125" s="118">
        <f>$I$94/E119</f>
        <v>453.1163636363635</v>
      </c>
      <c r="F125" s="64"/>
      <c r="G125" s="118">
        <f>$I$94/G119</f>
        <v>411.9239669421486</v>
      </c>
      <c r="H125" s="64"/>
      <c r="I125" s="64"/>
      <c r="J125" s="93"/>
    </row>
    <row r="126" spans="1:10" ht="5.25" customHeight="1">
      <c r="A126" s="64"/>
      <c r="B126" s="64"/>
      <c r="C126" s="64"/>
      <c r="D126" s="64"/>
      <c r="E126" s="65"/>
      <c r="F126" s="64"/>
      <c r="G126" s="64"/>
      <c r="H126" s="64"/>
      <c r="I126" s="64"/>
      <c r="J126" s="93"/>
    </row>
    <row r="127" spans="1:10" ht="12">
      <c r="A127" s="59"/>
      <c r="B127" s="59"/>
      <c r="C127" s="59"/>
      <c r="D127" s="59"/>
      <c r="E127" s="60"/>
      <c r="F127" s="59"/>
      <c r="G127" s="59"/>
      <c r="H127" s="59"/>
      <c r="I127" s="59"/>
      <c r="J127" s="93"/>
    </row>
    <row r="128" spans="1:10" ht="12">
      <c r="A128" s="64"/>
      <c r="B128" s="64"/>
      <c r="C128" s="64"/>
      <c r="D128" s="64"/>
      <c r="E128" s="65"/>
      <c r="F128" s="64"/>
      <c r="G128" s="64"/>
      <c r="H128" s="64"/>
      <c r="I128" s="64"/>
      <c r="J128" s="93"/>
    </row>
    <row r="129" spans="1:10" ht="12">
      <c r="A129" s="119" t="s">
        <v>62</v>
      </c>
      <c r="B129" s="64"/>
      <c r="C129" s="237"/>
      <c r="D129" s="237"/>
      <c r="E129" s="237"/>
      <c r="F129" s="64"/>
      <c r="G129" s="64"/>
      <c r="H129" s="64"/>
      <c r="I129" s="64"/>
      <c r="J129" s="93"/>
    </row>
    <row r="130" spans="1:10" ht="12">
      <c r="A130" s="119" t="s">
        <v>60</v>
      </c>
      <c r="B130" s="64"/>
      <c r="C130" s="237"/>
      <c r="D130" s="237"/>
      <c r="E130" s="237"/>
      <c r="F130" s="237"/>
      <c r="G130" s="237"/>
      <c r="H130" s="64"/>
      <c r="I130" s="64"/>
      <c r="J130" s="93"/>
    </row>
    <row r="131" spans="1:10" ht="12">
      <c r="A131" s="119" t="s">
        <v>61</v>
      </c>
      <c r="B131" s="64"/>
      <c r="C131" s="237"/>
      <c r="D131" s="237"/>
      <c r="E131" s="237"/>
      <c r="F131" s="237"/>
      <c r="G131" s="237"/>
      <c r="H131" s="64"/>
      <c r="I131" s="64"/>
      <c r="J131" s="93"/>
    </row>
    <row r="132" spans="1:10" ht="12">
      <c r="A132" s="64"/>
      <c r="B132" s="64"/>
      <c r="C132" s="237"/>
      <c r="D132" s="237"/>
      <c r="E132" s="237"/>
      <c r="F132" s="237"/>
      <c r="G132" s="237"/>
      <c r="H132" s="64"/>
      <c r="I132" s="64"/>
      <c r="J132" s="93"/>
    </row>
    <row r="133" spans="1:10" ht="12">
      <c r="A133" s="64"/>
      <c r="B133" s="64"/>
      <c r="C133" s="237"/>
      <c r="D133" s="237"/>
      <c r="E133" s="237"/>
      <c r="F133" s="237"/>
      <c r="G133" s="237"/>
      <c r="H133" s="64"/>
      <c r="I133" s="64"/>
      <c r="J133" s="93"/>
    </row>
    <row r="134" spans="1:10" ht="12">
      <c r="A134" s="64"/>
      <c r="B134" s="64"/>
      <c r="C134" s="64"/>
      <c r="D134" s="64"/>
      <c r="E134" s="65"/>
      <c r="F134" s="64"/>
      <c r="G134" s="64"/>
      <c r="H134" s="64"/>
      <c r="I134" s="64"/>
      <c r="J134" s="93"/>
    </row>
  </sheetData>
  <sheetProtection/>
  <mergeCells count="24">
    <mergeCell ref="A87:C87"/>
    <mergeCell ref="D87:H87"/>
    <mergeCell ref="A88:C88"/>
    <mergeCell ref="D88:H88"/>
    <mergeCell ref="C132:G132"/>
    <mergeCell ref="C133:G133"/>
    <mergeCell ref="A89:C89"/>
    <mergeCell ref="D89:H89"/>
    <mergeCell ref="A100:I104"/>
    <mergeCell ref="C129:E129"/>
    <mergeCell ref="C130:G130"/>
    <mergeCell ref="C131:G131"/>
    <mergeCell ref="A84:C84"/>
    <mergeCell ref="D84:H84"/>
    <mergeCell ref="A85:C85"/>
    <mergeCell ref="D85:H85"/>
    <mergeCell ref="A86:C86"/>
    <mergeCell ref="D86:H86"/>
    <mergeCell ref="A1:J1"/>
    <mergeCell ref="L7:P7"/>
    <mergeCell ref="L8:Q8"/>
    <mergeCell ref="C75:G75"/>
    <mergeCell ref="A83:C83"/>
    <mergeCell ref="D83:H83"/>
  </mergeCells>
  <printOptions/>
  <pageMargins left="1.25" right="0.75" top="0.5" bottom="0.5" header="0.5" footer="0.5"/>
  <pageSetup horizontalDpi="600" verticalDpi="600" orientation="portrait" scale="85" r:id="rId1"/>
  <headerFooter alignWithMargins="0">
    <oddFooter>&amp;L&amp;A&amp;CUniversity of Idaho&amp;RAERS Dept</oddFooter>
  </headerFooter>
  <rowBreaks count="1" manualBreakCount="1">
    <brk id="6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Idaho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E. Patterson</dc:creator>
  <cp:keywords/>
  <dc:description/>
  <cp:lastModifiedBy>KatePainter</cp:lastModifiedBy>
  <cp:lastPrinted>2010-03-11T16:11:31Z</cp:lastPrinted>
  <dcterms:created xsi:type="dcterms:W3CDTF">2002-10-19T19:18:49Z</dcterms:created>
  <dcterms:modified xsi:type="dcterms:W3CDTF">2014-10-15T21:15:36Z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